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звіти\бюджет 2026\зміни\520\"/>
    </mc:Choice>
  </mc:AlternateContent>
  <bookViews>
    <workbookView xWindow="0" yWindow="0" windowWidth="19200" windowHeight="11640"/>
  </bookViews>
  <sheets>
    <sheet name="дод 1" sheetId="1" r:id="rId1"/>
    <sheet name="дод 2" sheetId="7" r:id="rId2"/>
    <sheet name="дод 3" sheetId="3" r:id="rId3"/>
    <sheet name="дод 4" sheetId="4" r:id="rId4"/>
    <sheet name="дод 5" sheetId="6" r:id="rId5"/>
  </sheets>
  <definedNames>
    <definedName name="_xlnm._FilterDatabase" localSheetId="0" hidden="1">'дод 1'!$A$17:$F$107</definedName>
    <definedName name="_xlnm._FilterDatabase" localSheetId="2" hidden="1">'дод 3'!$A$18:$P$105</definedName>
    <definedName name="_xlnm._FilterDatabase" localSheetId="4" hidden="1">'дод 5'!$A$17:$J$102</definedName>
    <definedName name="w1_12" localSheetId="0">'дод 1'!$B$101</definedName>
    <definedName name="_xlnm.Print_Titles" localSheetId="0">'дод 1'!$17:$17</definedName>
    <definedName name="_xlnm.Print_Titles" localSheetId="2">'дод 3'!$18:$18</definedName>
    <definedName name="_xlnm.Print_Titles" localSheetId="3">'дод 4'!$17:$17</definedName>
    <definedName name="_xlnm.Print_Titles" localSheetId="4">'дод 5'!$17:$17</definedName>
    <definedName name="_xlnm.Print_Area" localSheetId="0">'дод 1'!$A$1:$F$110</definedName>
    <definedName name="_xlnm.Print_Area" localSheetId="2">'дод 3'!$A$1:$P$108</definedName>
    <definedName name="_xlnm.Print_Area" localSheetId="3">'дод 4'!$A$1:$D$131</definedName>
    <definedName name="_xlnm.Print_Area" localSheetId="4">'дод 5'!$A$1:$J$105</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D29" i="7" l="1"/>
  <c r="D22" i="7"/>
  <c r="D26" i="4"/>
  <c r="F40" i="3"/>
  <c r="G40" i="3"/>
  <c r="D92" i="1"/>
  <c r="D111" i="4"/>
  <c r="H90" i="6" l="1"/>
  <c r="H32" i="6"/>
  <c r="G32" i="6" s="1"/>
  <c r="D24" i="4"/>
  <c r="D23" i="4" s="1"/>
  <c r="F102" i="3"/>
  <c r="F98" i="3"/>
  <c r="F39" i="3"/>
  <c r="F31" i="3"/>
  <c r="F25" i="3"/>
  <c r="D89" i="1"/>
  <c r="C89" i="1" s="1"/>
  <c r="H63" i="6"/>
  <c r="F73" i="3"/>
  <c r="F37" i="3"/>
  <c r="F21" i="3"/>
  <c r="H100" i="6"/>
  <c r="D94" i="4"/>
  <c r="F104" i="3"/>
  <c r="H74" i="6"/>
  <c r="H72" i="6"/>
  <c r="H71" i="6" s="1"/>
  <c r="F78" i="3"/>
  <c r="F77" i="3"/>
  <c r="F103" i="3"/>
  <c r="H87" i="6"/>
  <c r="H80" i="6"/>
  <c r="F92" i="3"/>
  <c r="F87" i="3"/>
  <c r="H79" i="6"/>
  <c r="H61" i="6" l="1"/>
  <c r="F71" i="3"/>
  <c r="D104" i="1"/>
  <c r="H62" i="6"/>
  <c r="D58" i="4"/>
  <c r="F72" i="3"/>
  <c r="F85" i="3"/>
  <c r="G94" i="6"/>
  <c r="D103" i="4"/>
  <c r="F60" i="3"/>
  <c r="D93" i="4"/>
  <c r="H97" i="6" l="1"/>
  <c r="G96" i="6"/>
  <c r="G97" i="6"/>
  <c r="H96" i="6"/>
  <c r="H89" i="6" s="1"/>
  <c r="D84" i="4"/>
  <c r="D85" i="4"/>
  <c r="F101" i="3"/>
  <c r="G101" i="3"/>
  <c r="E60" i="3"/>
  <c r="D86" i="1"/>
  <c r="D83" i="4" l="1"/>
  <c r="D21" i="7"/>
  <c r="D76" i="1" l="1"/>
  <c r="D79" i="1"/>
  <c r="G101" i="6" l="1"/>
  <c r="D96" i="4"/>
  <c r="F32" i="3"/>
  <c r="G32" i="3"/>
  <c r="F59" i="3"/>
  <c r="F41" i="3"/>
  <c r="F66" i="3"/>
  <c r="G66" i="3"/>
  <c r="G41" i="3"/>
  <c r="G39" i="3"/>
  <c r="F38" i="3"/>
  <c r="G38" i="3"/>
  <c r="D20" i="1" l="1"/>
  <c r="G100" i="6" l="1"/>
  <c r="G91" i="6" l="1"/>
  <c r="G71" i="6" l="1"/>
  <c r="G74" i="6"/>
  <c r="G72" i="6"/>
  <c r="G62" i="6"/>
  <c r="G58" i="6"/>
  <c r="G57" i="6"/>
  <c r="J76" i="3" l="1"/>
  <c r="J77" i="3"/>
  <c r="F82" i="3"/>
  <c r="F81" i="3"/>
  <c r="E77" i="3"/>
  <c r="F76" i="3"/>
  <c r="F64" i="3"/>
  <c r="H21" i="3" l="1"/>
  <c r="D101" i="4" l="1"/>
  <c r="D98" i="4" s="1"/>
  <c r="D122" i="4" l="1"/>
  <c r="D29" i="4"/>
  <c r="H22" i="6"/>
  <c r="G23" i="6"/>
  <c r="G76" i="6"/>
  <c r="D60" i="4"/>
  <c r="D71" i="4" s="1"/>
  <c r="L36" i="3"/>
  <c r="M36" i="3"/>
  <c r="E82" i="3"/>
  <c r="P82" i="3" s="1"/>
  <c r="J60" i="3"/>
  <c r="P60" i="3" s="1"/>
  <c r="E90" i="1"/>
  <c r="D43" i="4"/>
  <c r="D103" i="1"/>
  <c r="H36" i="6"/>
  <c r="H75" i="6" l="1"/>
  <c r="O83" i="3" l="1"/>
  <c r="K83" i="3" s="1"/>
  <c r="I75" i="6" l="1"/>
  <c r="J75" i="6"/>
  <c r="H60" i="6"/>
  <c r="D48" i="4"/>
  <c r="F70" i="3"/>
  <c r="D45" i="4" l="1"/>
  <c r="D44" i="4" s="1"/>
  <c r="D90" i="1"/>
  <c r="C90" i="1" s="1"/>
  <c r="D95" i="1"/>
  <c r="G75" i="6" l="1"/>
  <c r="D87" i="4" l="1"/>
  <c r="D82" i="4" s="1"/>
  <c r="C22" i="7" l="1"/>
  <c r="C21" i="7"/>
  <c r="D25" i="4" l="1"/>
  <c r="D27" i="4"/>
  <c r="G36" i="3"/>
  <c r="C94" i="1"/>
  <c r="C93" i="1"/>
  <c r="H55" i="6" l="1"/>
  <c r="F67" i="3"/>
  <c r="G63" i="3" l="1"/>
  <c r="H20" i="3" l="1"/>
  <c r="G24" i="3" l="1"/>
  <c r="H24" i="3"/>
  <c r="G33" i="6" l="1"/>
  <c r="F63" i="3" l="1"/>
  <c r="F36" i="3" l="1"/>
  <c r="F24" i="3" l="1"/>
  <c r="E33" i="3"/>
  <c r="P33" i="3" s="1"/>
  <c r="E34" i="3"/>
  <c r="P34" i="3" s="1"/>
  <c r="E81" i="1"/>
  <c r="D36" i="1"/>
  <c r="D26" i="1"/>
  <c r="D19" i="1" l="1"/>
  <c r="D40" i="1"/>
  <c r="E54" i="3"/>
  <c r="E53" i="3"/>
  <c r="E61" i="1"/>
  <c r="E60" i="1" s="1"/>
  <c r="C41" i="1"/>
  <c r="E46" i="3" l="1"/>
  <c r="P46" i="3" s="1"/>
  <c r="C101" i="1"/>
  <c r="G70" i="6" l="1"/>
  <c r="F105" i="1" l="1"/>
  <c r="I36" i="6" l="1"/>
  <c r="G36" i="6" s="1"/>
  <c r="G50" i="6"/>
  <c r="D62" i="4"/>
  <c r="K61" i="3" l="1"/>
  <c r="J61" i="3"/>
  <c r="E61" i="3"/>
  <c r="P61" i="3" l="1"/>
  <c r="C106" i="1"/>
  <c r="C105" i="1" s="1"/>
  <c r="E105" i="1"/>
  <c r="I28" i="6" l="1"/>
  <c r="G80" i="6" l="1"/>
  <c r="G49" i="6"/>
  <c r="O36" i="3" l="1"/>
  <c r="K87" i="3"/>
  <c r="J87" i="3"/>
  <c r="E87" i="3"/>
  <c r="K59" i="3"/>
  <c r="J59" i="3"/>
  <c r="E59" i="3"/>
  <c r="P87" i="3" l="1"/>
  <c r="P59" i="3"/>
  <c r="C99" i="1" l="1"/>
  <c r="D35" i="4" l="1"/>
  <c r="D98" i="1"/>
  <c r="G61" i="6" l="1"/>
  <c r="K71" i="3"/>
  <c r="J71" i="3"/>
  <c r="E71" i="3"/>
  <c r="C91" i="1"/>
  <c r="P71" i="3" l="1"/>
  <c r="F20" i="3"/>
  <c r="E21" i="3"/>
  <c r="J19" i="6" l="1"/>
  <c r="J18" i="6" s="1"/>
  <c r="I19" i="6"/>
  <c r="I18" i="6" s="1"/>
  <c r="H19" i="6"/>
  <c r="G20" i="6"/>
  <c r="D39" i="4"/>
  <c r="E22" i="3"/>
  <c r="P22" i="3" s="1"/>
  <c r="C102" i="1"/>
  <c r="G19" i="6" l="1"/>
  <c r="H18" i="6"/>
  <c r="G18" i="6" s="1"/>
  <c r="G77" i="6" l="1"/>
  <c r="G69" i="6"/>
  <c r="G37" i="6"/>
  <c r="E83" i="3"/>
  <c r="J83" i="3"/>
  <c r="P83" i="3" l="1"/>
  <c r="J22" i="6" l="1"/>
  <c r="J21" i="6" s="1"/>
  <c r="G99" i="6"/>
  <c r="G92" i="6"/>
  <c r="G90" i="6"/>
  <c r="J89" i="6"/>
  <c r="J88" i="6" s="1"/>
  <c r="I89" i="6"/>
  <c r="I88" i="6" s="1"/>
  <c r="G64" i="6"/>
  <c r="H88" i="6" l="1"/>
  <c r="G89" i="6"/>
  <c r="G88" i="6" l="1"/>
  <c r="D121" i="4"/>
  <c r="D128" i="4" s="1"/>
  <c r="D110" i="4"/>
  <c r="D127" i="4" s="1"/>
  <c r="D37" i="4"/>
  <c r="D33" i="4"/>
  <c r="D21" i="4"/>
  <c r="D30" i="7"/>
  <c r="F29" i="7"/>
  <c r="E29" i="7"/>
  <c r="C29" i="7" s="1"/>
  <c r="F28" i="7"/>
  <c r="E28" i="7"/>
  <c r="D28" i="7"/>
  <c r="E23" i="7"/>
  <c r="E30" i="7" s="1"/>
  <c r="D126" i="4" l="1"/>
  <c r="C28" i="7"/>
  <c r="E27" i="7"/>
  <c r="E26" i="7" s="1"/>
  <c r="E31" i="7" s="1"/>
  <c r="C30" i="7"/>
  <c r="D27" i="7"/>
  <c r="D20" i="7"/>
  <c r="D19" i="7" s="1"/>
  <c r="D24" i="7" s="1"/>
  <c r="F23" i="7"/>
  <c r="E20" i="7"/>
  <c r="C23" i="7"/>
  <c r="C27" i="7" l="1"/>
  <c r="F20" i="7"/>
  <c r="F19" i="7" s="1"/>
  <c r="F24" i="7" s="1"/>
  <c r="F30" i="7"/>
  <c r="F27" i="7" s="1"/>
  <c r="F26" i="7" s="1"/>
  <c r="F31" i="7" s="1"/>
  <c r="D26" i="7"/>
  <c r="C20" i="7"/>
  <c r="E19" i="7"/>
  <c r="D31" i="7" l="1"/>
  <c r="C31" i="7" s="1"/>
  <c r="C26" i="7"/>
  <c r="E24" i="7"/>
  <c r="C24" i="7" s="1"/>
  <c r="C19" i="7"/>
  <c r="K104" i="3" l="1"/>
  <c r="K103" i="3"/>
  <c r="K102" i="3"/>
  <c r="K101" i="3"/>
  <c r="K98" i="3"/>
  <c r="K95" i="3"/>
  <c r="K91" i="3"/>
  <c r="K90" i="3"/>
  <c r="K89" i="3"/>
  <c r="K88" i="3"/>
  <c r="K86" i="3"/>
  <c r="K85" i="3"/>
  <c r="K84" i="3"/>
  <c r="K78" i="3"/>
  <c r="K76" i="3"/>
  <c r="K73" i="3"/>
  <c r="K72" i="3"/>
  <c r="K70" i="3"/>
  <c r="K69" i="3"/>
  <c r="K68" i="3"/>
  <c r="K67" i="3"/>
  <c r="K66" i="3"/>
  <c r="K65" i="3"/>
  <c r="K64" i="3"/>
  <c r="K58" i="3"/>
  <c r="K57" i="3"/>
  <c r="K56" i="3"/>
  <c r="K55" i="3"/>
  <c r="K52" i="3"/>
  <c r="K51" i="3"/>
  <c r="K50" i="3"/>
  <c r="K49" i="3"/>
  <c r="K48" i="3"/>
  <c r="K47" i="3"/>
  <c r="K45" i="3"/>
  <c r="K44" i="3"/>
  <c r="K43" i="3"/>
  <c r="K42" i="3"/>
  <c r="K41" i="3"/>
  <c r="K40" i="3"/>
  <c r="K39" i="3"/>
  <c r="K38" i="3"/>
  <c r="K37" i="3"/>
  <c r="K92" i="3"/>
  <c r="F100" i="3"/>
  <c r="J102" i="3"/>
  <c r="E102" i="3"/>
  <c r="J103" i="3"/>
  <c r="E103" i="3"/>
  <c r="K32" i="3"/>
  <c r="K30" i="3"/>
  <c r="K29" i="3"/>
  <c r="K28" i="3"/>
  <c r="K27" i="3"/>
  <c r="K26" i="3"/>
  <c r="K25" i="3"/>
  <c r="K21" i="3"/>
  <c r="E98" i="1"/>
  <c r="F98" i="1"/>
  <c r="F107" i="1" s="1"/>
  <c r="C100" i="1"/>
  <c r="E86" i="1"/>
  <c r="F86" i="1"/>
  <c r="D85" i="1"/>
  <c r="D84" i="1" s="1"/>
  <c r="E31" i="1"/>
  <c r="F31" i="1"/>
  <c r="E33" i="1"/>
  <c r="F33" i="1"/>
  <c r="E56" i="1"/>
  <c r="F56" i="1"/>
  <c r="E44" i="1"/>
  <c r="E43" i="1" s="1"/>
  <c r="F44" i="1"/>
  <c r="F43" i="1" s="1"/>
  <c r="E40" i="1"/>
  <c r="F40" i="1"/>
  <c r="E38" i="1"/>
  <c r="F38" i="1"/>
  <c r="E36" i="1"/>
  <c r="F36" i="1"/>
  <c r="E29" i="1"/>
  <c r="F29" i="1"/>
  <c r="E20" i="1"/>
  <c r="E19" i="1" s="1"/>
  <c r="F20" i="1"/>
  <c r="F19" i="1" s="1"/>
  <c r="C87" i="1"/>
  <c r="F35" i="1" l="1"/>
  <c r="E35" i="1"/>
  <c r="P102" i="3"/>
  <c r="P103" i="3"/>
  <c r="F85" i="1"/>
  <c r="F84" i="1" s="1"/>
  <c r="E28" i="1"/>
  <c r="E18" i="1" s="1"/>
  <c r="F28" i="1"/>
  <c r="F18" i="1" s="1"/>
  <c r="F83" i="1" s="1"/>
  <c r="K36" i="3"/>
  <c r="E85" i="1"/>
  <c r="E84" i="1" s="1"/>
  <c r="E107" i="1" s="1"/>
  <c r="I67" i="6" l="1"/>
  <c r="I66" i="6" s="1"/>
  <c r="J67" i="6"/>
  <c r="J66" i="6" s="1"/>
  <c r="H67" i="6"/>
  <c r="H66" i="6" s="1"/>
  <c r="I52" i="6"/>
  <c r="I51" i="6" s="1"/>
  <c r="J52" i="6"/>
  <c r="J51" i="6" s="1"/>
  <c r="I35" i="6"/>
  <c r="J36" i="6"/>
  <c r="J35" i="6" s="1"/>
  <c r="H35" i="6"/>
  <c r="D31" i="4"/>
  <c r="D19" i="4"/>
  <c r="D70" i="4" l="1"/>
  <c r="D69" i="4" s="1"/>
  <c r="J102" i="6"/>
  <c r="H52" i="6"/>
  <c r="H51" i="6" s="1"/>
  <c r="E85" i="3"/>
  <c r="J85" i="3"/>
  <c r="P85" i="3" l="1"/>
  <c r="O75" i="3"/>
  <c r="O74" i="3" s="1"/>
  <c r="N75" i="3"/>
  <c r="N74" i="3" s="1"/>
  <c r="M75" i="3"/>
  <c r="M74" i="3" s="1"/>
  <c r="L75" i="3"/>
  <c r="L74" i="3" s="1"/>
  <c r="K75" i="3"/>
  <c r="K74" i="3" s="1"/>
  <c r="I75" i="3"/>
  <c r="I74" i="3" s="1"/>
  <c r="H75" i="3"/>
  <c r="H74" i="3" s="1"/>
  <c r="G75" i="3"/>
  <c r="G74" i="3" s="1"/>
  <c r="F75" i="3"/>
  <c r="F74" i="3" s="1"/>
  <c r="O97" i="3"/>
  <c r="O96" i="3" s="1"/>
  <c r="N97" i="3"/>
  <c r="N96" i="3" s="1"/>
  <c r="M97" i="3"/>
  <c r="M96" i="3" s="1"/>
  <c r="L97" i="3"/>
  <c r="L96" i="3" s="1"/>
  <c r="K97" i="3"/>
  <c r="K96" i="3" s="1"/>
  <c r="I97" i="3"/>
  <c r="I96" i="3" s="1"/>
  <c r="H97" i="3"/>
  <c r="H96" i="3" s="1"/>
  <c r="G97" i="3"/>
  <c r="G96" i="3" s="1"/>
  <c r="F97" i="3"/>
  <c r="F96" i="3" s="1"/>
  <c r="O94" i="3"/>
  <c r="O93" i="3" s="1"/>
  <c r="N94" i="3"/>
  <c r="N93" i="3" s="1"/>
  <c r="M94" i="3"/>
  <c r="M93" i="3" s="1"/>
  <c r="L94" i="3"/>
  <c r="L93" i="3" s="1"/>
  <c r="K94" i="3"/>
  <c r="K93" i="3" s="1"/>
  <c r="I94" i="3"/>
  <c r="I93" i="3" s="1"/>
  <c r="H94" i="3"/>
  <c r="H93" i="3" s="1"/>
  <c r="G94" i="3"/>
  <c r="G93" i="3" s="1"/>
  <c r="F94" i="3"/>
  <c r="F93" i="3" s="1"/>
  <c r="O63" i="3"/>
  <c r="O62" i="3" s="1"/>
  <c r="N63" i="3"/>
  <c r="N62" i="3" s="1"/>
  <c r="M63" i="3"/>
  <c r="M62" i="3" s="1"/>
  <c r="L63" i="3"/>
  <c r="L62" i="3" s="1"/>
  <c r="K63" i="3"/>
  <c r="K62" i="3" s="1"/>
  <c r="I63" i="3"/>
  <c r="I62" i="3" s="1"/>
  <c r="H63" i="3"/>
  <c r="H62" i="3" s="1"/>
  <c r="G62" i="3"/>
  <c r="F62" i="3"/>
  <c r="O24" i="3"/>
  <c r="O23" i="3" s="1"/>
  <c r="N24" i="3"/>
  <c r="N23" i="3" s="1"/>
  <c r="M24" i="3"/>
  <c r="M23" i="3" s="1"/>
  <c r="L24" i="3"/>
  <c r="L23" i="3" s="1"/>
  <c r="K24" i="3"/>
  <c r="K23" i="3" s="1"/>
  <c r="O20" i="3"/>
  <c r="O19" i="3" s="1"/>
  <c r="N20" i="3"/>
  <c r="N19" i="3" s="1"/>
  <c r="M20" i="3"/>
  <c r="M19" i="3" s="1"/>
  <c r="L20" i="3"/>
  <c r="L19" i="3" s="1"/>
  <c r="K20" i="3"/>
  <c r="K19" i="3" s="1"/>
  <c r="I20" i="3"/>
  <c r="I19" i="3" s="1"/>
  <c r="H19" i="3"/>
  <c r="G20" i="3"/>
  <c r="G19" i="3" s="1"/>
  <c r="F19" i="3"/>
  <c r="G87" i="6" l="1"/>
  <c r="J86" i="6"/>
  <c r="J85" i="6" s="1"/>
  <c r="I86" i="6"/>
  <c r="I85" i="6" s="1"/>
  <c r="H86" i="6"/>
  <c r="G84" i="6"/>
  <c r="G83" i="6"/>
  <c r="G82" i="6"/>
  <c r="G81" i="6"/>
  <c r="G79" i="6"/>
  <c r="G78" i="6"/>
  <c r="G68" i="6"/>
  <c r="G67" i="6"/>
  <c r="G66" i="6"/>
  <c r="G65" i="6"/>
  <c r="G63" i="6"/>
  <c r="G60" i="6"/>
  <c r="G59" i="6"/>
  <c r="G56" i="6"/>
  <c r="G55" i="6"/>
  <c r="G54" i="6"/>
  <c r="G53" i="6"/>
  <c r="G52" i="6"/>
  <c r="G51" i="6"/>
  <c r="G48" i="6"/>
  <c r="G47" i="6"/>
  <c r="G46" i="6"/>
  <c r="G45" i="6"/>
  <c r="G44" i="6"/>
  <c r="G43" i="6"/>
  <c r="G42" i="6"/>
  <c r="G41" i="6"/>
  <c r="G40" i="6"/>
  <c r="G39" i="6"/>
  <c r="G38" i="6"/>
  <c r="G35" i="6"/>
  <c r="G34" i="6"/>
  <c r="G29" i="6"/>
  <c r="G28" i="6"/>
  <c r="G27" i="6"/>
  <c r="G26" i="6"/>
  <c r="G25" i="6"/>
  <c r="G24" i="6"/>
  <c r="I22" i="6"/>
  <c r="I21" i="6" s="1"/>
  <c r="I102" i="6" s="1"/>
  <c r="G86" i="6" l="1"/>
  <c r="G22" i="6"/>
  <c r="H21" i="6"/>
  <c r="H85" i="6"/>
  <c r="G85" i="6" s="1"/>
  <c r="H102" i="6" l="1"/>
  <c r="G102" i="6" s="1"/>
  <c r="G21" i="6"/>
  <c r="D78" i="4"/>
  <c r="D77" i="4" s="1"/>
  <c r="J104" i="3" l="1"/>
  <c r="E104" i="3"/>
  <c r="J101" i="3"/>
  <c r="E101" i="3"/>
  <c r="O100" i="3"/>
  <c r="O99" i="3" s="1"/>
  <c r="N100" i="3"/>
  <c r="N99" i="3" s="1"/>
  <c r="M100" i="3"/>
  <c r="M99" i="3" s="1"/>
  <c r="L100" i="3"/>
  <c r="L99" i="3" s="1"/>
  <c r="K100" i="3"/>
  <c r="K99" i="3" s="1"/>
  <c r="I100" i="3"/>
  <c r="I99" i="3" s="1"/>
  <c r="H100" i="3"/>
  <c r="H99" i="3" s="1"/>
  <c r="G100" i="3"/>
  <c r="G99" i="3" s="1"/>
  <c r="J98" i="3"/>
  <c r="E98" i="3"/>
  <c r="J97" i="3"/>
  <c r="E97" i="3"/>
  <c r="J96" i="3"/>
  <c r="E96" i="3"/>
  <c r="J95" i="3"/>
  <c r="E95" i="3"/>
  <c r="J94" i="3"/>
  <c r="E94" i="3"/>
  <c r="J93" i="3"/>
  <c r="E93" i="3"/>
  <c r="J92" i="3"/>
  <c r="E92" i="3"/>
  <c r="J91" i="3"/>
  <c r="E91" i="3"/>
  <c r="J90" i="3"/>
  <c r="E90" i="3"/>
  <c r="J89" i="3"/>
  <c r="E89" i="3"/>
  <c r="J88" i="3"/>
  <c r="E88" i="3"/>
  <c r="J86" i="3"/>
  <c r="E86" i="3"/>
  <c r="J84" i="3"/>
  <c r="E84" i="3"/>
  <c r="J81" i="3"/>
  <c r="E81" i="3"/>
  <c r="O80" i="3"/>
  <c r="N80" i="3"/>
  <c r="N79" i="3" s="1"/>
  <c r="M80" i="3"/>
  <c r="M79" i="3" s="1"/>
  <c r="L80" i="3"/>
  <c r="L79" i="3" s="1"/>
  <c r="K80" i="3"/>
  <c r="K79" i="3" s="1"/>
  <c r="I80" i="3"/>
  <c r="I79" i="3" s="1"/>
  <c r="H80" i="3"/>
  <c r="H79" i="3" s="1"/>
  <c r="G80" i="3"/>
  <c r="G79" i="3" s="1"/>
  <c r="F80" i="3"/>
  <c r="F79" i="3" s="1"/>
  <c r="J78" i="3"/>
  <c r="E78" i="3"/>
  <c r="E76" i="3"/>
  <c r="J75" i="3"/>
  <c r="E75" i="3"/>
  <c r="J74" i="3"/>
  <c r="E74" i="3"/>
  <c r="J73" i="3"/>
  <c r="E73" i="3"/>
  <c r="J72" i="3"/>
  <c r="E72" i="3"/>
  <c r="J70" i="3"/>
  <c r="E70" i="3"/>
  <c r="J69" i="3"/>
  <c r="E69" i="3"/>
  <c r="J68" i="3"/>
  <c r="E68" i="3"/>
  <c r="J67" i="3"/>
  <c r="E67" i="3"/>
  <c r="J66" i="3"/>
  <c r="E66" i="3"/>
  <c r="J65" i="3"/>
  <c r="E65" i="3"/>
  <c r="J64" i="3"/>
  <c r="E64" i="3"/>
  <c r="J63" i="3"/>
  <c r="E63" i="3"/>
  <c r="J62" i="3"/>
  <c r="E62" i="3"/>
  <c r="J58" i="3"/>
  <c r="E58" i="3"/>
  <c r="J57" i="3"/>
  <c r="E57" i="3"/>
  <c r="J56" i="3"/>
  <c r="E56" i="3"/>
  <c r="J55" i="3"/>
  <c r="E55" i="3"/>
  <c r="J52" i="3"/>
  <c r="E52" i="3"/>
  <c r="J51" i="3"/>
  <c r="E51" i="3"/>
  <c r="J50" i="3"/>
  <c r="E50" i="3"/>
  <c r="J49" i="3"/>
  <c r="E49" i="3"/>
  <c r="J48" i="3"/>
  <c r="E48" i="3"/>
  <c r="J47" i="3"/>
  <c r="E47" i="3"/>
  <c r="J45" i="3"/>
  <c r="E45" i="3"/>
  <c r="J44" i="3"/>
  <c r="E44" i="3"/>
  <c r="J43" i="3"/>
  <c r="E43" i="3"/>
  <c r="J42" i="3"/>
  <c r="E42" i="3"/>
  <c r="J41" i="3"/>
  <c r="E41" i="3"/>
  <c r="J40" i="3"/>
  <c r="E40" i="3"/>
  <c r="J39" i="3"/>
  <c r="E39" i="3"/>
  <c r="J38" i="3"/>
  <c r="E38" i="3"/>
  <c r="J37" i="3"/>
  <c r="E37" i="3"/>
  <c r="O35" i="3"/>
  <c r="N36" i="3"/>
  <c r="N35" i="3" s="1"/>
  <c r="M35" i="3"/>
  <c r="K35" i="3"/>
  <c r="I36" i="3"/>
  <c r="I35" i="3" s="1"/>
  <c r="H36" i="3"/>
  <c r="H35" i="3" s="1"/>
  <c r="G35" i="3"/>
  <c r="J32" i="3"/>
  <c r="E32" i="3"/>
  <c r="J31" i="3"/>
  <c r="E31" i="3"/>
  <c r="J30" i="3"/>
  <c r="E30" i="3"/>
  <c r="J29" i="3"/>
  <c r="E29" i="3"/>
  <c r="J28" i="3"/>
  <c r="E28" i="3"/>
  <c r="J27" i="3"/>
  <c r="E27" i="3"/>
  <c r="J26" i="3"/>
  <c r="E26" i="3"/>
  <c r="J25" i="3"/>
  <c r="G23" i="3"/>
  <c r="E25" i="3"/>
  <c r="J24" i="3"/>
  <c r="I24" i="3"/>
  <c r="I23" i="3" s="1"/>
  <c r="H23" i="3"/>
  <c r="J23" i="3"/>
  <c r="J21" i="3"/>
  <c r="J20" i="3"/>
  <c r="E20" i="3"/>
  <c r="J19" i="3"/>
  <c r="E19" i="3"/>
  <c r="H105" i="3" l="1"/>
  <c r="E36" i="3"/>
  <c r="G105" i="3"/>
  <c r="L35" i="3"/>
  <c r="L105" i="3" s="1"/>
  <c r="J36" i="3"/>
  <c r="K105" i="3"/>
  <c r="P25" i="3"/>
  <c r="E24" i="3"/>
  <c r="P24" i="3" s="1"/>
  <c r="J100" i="3"/>
  <c r="J99" i="3"/>
  <c r="N105" i="3"/>
  <c r="P56" i="3"/>
  <c r="P57" i="3"/>
  <c r="P58" i="3"/>
  <c r="P64" i="3"/>
  <c r="P65" i="3"/>
  <c r="P66" i="3"/>
  <c r="P67" i="3"/>
  <c r="P68" i="3"/>
  <c r="P69" i="3"/>
  <c r="P70" i="3"/>
  <c r="P72" i="3"/>
  <c r="P73" i="3"/>
  <c r="P74" i="3"/>
  <c r="J80" i="3"/>
  <c r="E100" i="3"/>
  <c r="M105" i="3"/>
  <c r="I105" i="3"/>
  <c r="O79" i="3"/>
  <c r="J79" i="3" s="1"/>
  <c r="E80" i="3"/>
  <c r="P26" i="3"/>
  <c r="P27" i="3"/>
  <c r="P28" i="3"/>
  <c r="P29" i="3"/>
  <c r="P30" i="3"/>
  <c r="P31" i="3"/>
  <c r="P32" i="3"/>
  <c r="P43" i="3"/>
  <c r="P44" i="3"/>
  <c r="P45" i="3"/>
  <c r="P47" i="3"/>
  <c r="P48" i="3"/>
  <c r="P49" i="3"/>
  <c r="P50" i="3"/>
  <c r="P51" i="3"/>
  <c r="P52" i="3"/>
  <c r="P55" i="3"/>
  <c r="P101" i="3"/>
  <c r="P104" i="3"/>
  <c r="P75" i="3"/>
  <c r="P76" i="3"/>
  <c r="P81" i="3"/>
  <c r="P90" i="3"/>
  <c r="P95" i="3"/>
  <c r="F99" i="3"/>
  <c r="E99" i="3" s="1"/>
  <c r="P78" i="3"/>
  <c r="E79" i="3"/>
  <c r="P98" i="3"/>
  <c r="P96" i="3"/>
  <c r="P97" i="3"/>
  <c r="P93" i="3"/>
  <c r="P94" i="3"/>
  <c r="P91" i="3"/>
  <c r="P92" i="3"/>
  <c r="P84" i="3"/>
  <c r="P86" i="3"/>
  <c r="P88" i="3"/>
  <c r="P89" i="3"/>
  <c r="P62" i="3"/>
  <c r="P63" i="3"/>
  <c r="P37" i="3"/>
  <c r="P38" i="3"/>
  <c r="P39" i="3"/>
  <c r="P40" i="3"/>
  <c r="P41" i="3"/>
  <c r="P42" i="3"/>
  <c r="F35" i="3"/>
  <c r="E35" i="3" s="1"/>
  <c r="P20" i="3"/>
  <c r="P21" i="3"/>
  <c r="P19" i="3"/>
  <c r="F23" i="3"/>
  <c r="P100" i="3" l="1"/>
  <c r="P99" i="3"/>
  <c r="J35" i="3"/>
  <c r="J105" i="3" s="1"/>
  <c r="P36" i="3"/>
  <c r="P79" i="3"/>
  <c r="P80" i="3"/>
  <c r="O105" i="3"/>
  <c r="F105" i="3"/>
  <c r="E23" i="3"/>
  <c r="E105" i="3" s="1"/>
  <c r="P35" i="3" l="1"/>
  <c r="P23" i="3"/>
  <c r="P105" i="3" l="1"/>
  <c r="D44" i="1"/>
  <c r="D53" i="1"/>
  <c r="D56" i="1"/>
  <c r="D66" i="1"/>
  <c r="D71" i="1"/>
  <c r="D73" i="1"/>
  <c r="D75" i="1"/>
  <c r="D78" i="1"/>
  <c r="D77" i="1" s="1"/>
  <c r="E80" i="1"/>
  <c r="E83" i="1" s="1"/>
  <c r="J111" i="3" s="1"/>
  <c r="C42" i="1"/>
  <c r="D38" i="1"/>
  <c r="D29" i="1"/>
  <c r="D33" i="1"/>
  <c r="D31" i="1"/>
  <c r="C19" i="1" l="1"/>
  <c r="D43" i="1"/>
  <c r="D35" i="1"/>
  <c r="C35" i="1" s="1"/>
  <c r="D70" i="1"/>
  <c r="D28" i="1"/>
  <c r="C104" i="1"/>
  <c r="C98" i="1"/>
  <c r="C97" i="1"/>
  <c r="C96" i="1"/>
  <c r="C95" i="1"/>
  <c r="C92" i="1"/>
  <c r="C88" i="1"/>
  <c r="C86" i="1"/>
  <c r="C85" i="1"/>
  <c r="C82" i="1"/>
  <c r="C81" i="1"/>
  <c r="C80" i="1"/>
  <c r="C79" i="1"/>
  <c r="C78" i="1"/>
  <c r="C77" i="1"/>
  <c r="C76" i="1"/>
  <c r="C75" i="1"/>
  <c r="C74" i="1"/>
  <c r="C73" i="1"/>
  <c r="C72" i="1"/>
  <c r="C71" i="1"/>
  <c r="C69" i="1"/>
  <c r="C68" i="1"/>
  <c r="C67" i="1"/>
  <c r="C66" i="1"/>
  <c r="C65" i="1"/>
  <c r="C63" i="1"/>
  <c r="C62" i="1"/>
  <c r="C61" i="1"/>
  <c r="C60" i="1"/>
  <c r="C59" i="1"/>
  <c r="C58" i="1"/>
  <c r="C57" i="1"/>
  <c r="C56" i="1"/>
  <c r="C55" i="1"/>
  <c r="C54" i="1"/>
  <c r="C53" i="1"/>
  <c r="C52" i="1"/>
  <c r="C51" i="1"/>
  <c r="C50" i="1"/>
  <c r="C49" i="1"/>
  <c r="C48" i="1"/>
  <c r="C47" i="1"/>
  <c r="C46" i="1"/>
  <c r="C45" i="1"/>
  <c r="C44" i="1"/>
  <c r="C40" i="1"/>
  <c r="C39" i="1"/>
  <c r="C38" i="1"/>
  <c r="C37" i="1"/>
  <c r="C36" i="1"/>
  <c r="C34" i="1"/>
  <c r="C33" i="1"/>
  <c r="C32" i="1"/>
  <c r="C31" i="1"/>
  <c r="C30" i="1"/>
  <c r="C29" i="1"/>
  <c r="C27" i="1"/>
  <c r="C26" i="1" s="1"/>
  <c r="C25" i="1"/>
  <c r="C24" i="1"/>
  <c r="C23" i="1"/>
  <c r="C22" i="1"/>
  <c r="C21" i="1"/>
  <c r="C20" i="1"/>
  <c r="C28" i="1" l="1"/>
  <c r="D18" i="1"/>
  <c r="C18" i="1" s="1"/>
  <c r="C70" i="1"/>
  <c r="C64" i="1" s="1"/>
  <c r="D64" i="1"/>
  <c r="C84" i="1"/>
  <c r="C43" i="1"/>
  <c r="D83" i="1" l="1"/>
  <c r="D107" i="1" s="1"/>
  <c r="C107" i="1" s="1"/>
  <c r="C83" i="1" l="1"/>
  <c r="P111" i="3"/>
  <c r="E111" i="3" l="1"/>
</calcChain>
</file>

<file path=xl/sharedStrings.xml><?xml version="1.0" encoding="utf-8"?>
<sst xmlns="http://schemas.openxmlformats.org/spreadsheetml/2006/main" count="1125" uniqueCount="519">
  <si>
    <t>Додаток 1</t>
  </si>
  <si>
    <t>(код бюджету)</t>
  </si>
  <si>
    <t>(грн)</t>
  </si>
  <si>
    <t>Код</t>
  </si>
  <si>
    <t>Найменування згідно з Класифікацією доходів бюджету</t>
  </si>
  <si>
    <t>Усього</t>
  </si>
  <si>
    <t>Загальний фонд</t>
  </si>
  <si>
    <t>Спеціальний фонд</t>
  </si>
  <si>
    <t>усього</t>
  </si>
  <si>
    <t>у тому числі бюджет розвитку</t>
  </si>
  <si>
    <t>Податкові надходження  </t>
  </si>
  <si>
    <t>Податки на доходи, податки на прибуток, податки на збільшення ринкової вартості  </t>
  </si>
  <si>
    <t>Податок та збір на доходи фізичних осіб</t>
  </si>
  <si>
    <t>Податок на доходи фізичних осіб, що сплачується податковими агентами, із доходів платника податку у вигляді заробітної плати</t>
  </si>
  <si>
    <t>Податок на доходи фізичних осіб з грошового забезпечення, грошових винагород та інших виплат, одержаних військовослужбовцями та особами рядового і начальницького складу, що сплачується податковими агентами</t>
  </si>
  <si>
    <t>Податок на доходи фізичних осіб, що сплачується податковими агентами, із доходів платника податку інших ніж заробітна плата</t>
  </si>
  <si>
    <t>Податок на доходи фізичних осіб, що сплачується фізичними особами за результатами річного декларування</t>
  </si>
  <si>
    <t>Податок на прибуток підприємств  </t>
  </si>
  <si>
    <t>Податок на прибуток підприємств та фінансових установ комунальної власності </t>
  </si>
  <si>
    <t>Рентна плата та плата за використання інших природних ресурсів </t>
  </si>
  <si>
    <t>Рентна плата за спеціальне використання лісових ресурсів </t>
  </si>
  <si>
    <t>Рентна плата за спеціальне використання лісових ресурсів (крім рентної плати за спеціальне використання лісових ресурсів в частині деревини, заготовленої в порядку рубок головного користування) </t>
  </si>
  <si>
    <t>Рентна плата за користування надрами загальнодержавного значення</t>
  </si>
  <si>
    <t>Рентна плата за користування надрами для видобування інших корисних копалин загальнодержавного значення</t>
  </si>
  <si>
    <t>Рентна плата за користування надрами місцевого значення</t>
  </si>
  <si>
    <t>Рентна плата за користування надрами для видобування корисних копалин місцевого значення</t>
  </si>
  <si>
    <t>Внутрішні податки на товари та послуги  </t>
  </si>
  <si>
    <t>Акцизний податок з вироблених в Україні підакцизних товарів (продукції) </t>
  </si>
  <si>
    <t>Пальне</t>
  </si>
  <si>
    <t>Акцизний податок з ввезених на митну територію України підакцизних товарів (продукції) </t>
  </si>
  <si>
    <t>Акцизний податок з реалізації суб`єктами господарювання роздрібної торгівлі підакцизних товарів </t>
  </si>
  <si>
    <t>Місцеві податки та збори, що сплачуються (перераховуються) згідно з Податковим кодексом України</t>
  </si>
  <si>
    <t>Податок на майно </t>
  </si>
  <si>
    <t>Податок на нерухоме майно, відмінне від земельної ділянки, сплачений юридичними особами, які є власниками об`єктів житлової нерухомості </t>
  </si>
  <si>
    <t>Податок на нерухоме майно, відмінне від земельної ділянки, сплачений фізичними особами, які є власниками об`єктів житлової нерухомості </t>
  </si>
  <si>
    <t>Податок на нерухоме майно, відмінне від земельної ділянки, сплачений фізичними особами, які є власниками об`єктів нежитлової нерухомості </t>
  </si>
  <si>
    <t>Податок на нерухоме майно, відмінне від земельної ділянки, сплачений юридичними особами, які є власниками об`єктів нежитлової нерухомості </t>
  </si>
  <si>
    <t>Земельний податок з юридичних осіб </t>
  </si>
  <si>
    <t>Орендна плата з юридичних осіб </t>
  </si>
  <si>
    <t>Земельний податок з фізичних осіб </t>
  </si>
  <si>
    <t>Орендна плата з фізичних осіб </t>
  </si>
  <si>
    <t>Туристичний збір </t>
  </si>
  <si>
    <t>Туристичний збір, сплачений юридичними особами </t>
  </si>
  <si>
    <t>Туристичний збір, сплачений фізичними особами </t>
  </si>
  <si>
    <t>Єдиний податок  </t>
  </si>
  <si>
    <t>Єдиний податок з юридичних осіб </t>
  </si>
  <si>
    <t>Єдиний податок з фізичних осіб </t>
  </si>
  <si>
    <t>Єдиний податок з сільськогосподарських товаровиробників, у яких частка сільськогосподарського товаровиробництва за попередній податковий (звітний) рік дорівнює або перевищує 75 відсотків` </t>
  </si>
  <si>
    <t>Інші податки та збори </t>
  </si>
  <si>
    <t>Екологічний податок </t>
  </si>
  <si>
    <t>Екологічний податок, який справляється за викиди в атмосферне повітря забруднюючих речовин стаціонарними джерелами забруднення (за винятком викидів в атмосферне повітря двоокису вуглецю)</t>
  </si>
  <si>
    <t>Надходження від розміщення відходів у спеціально відведених для цього місцях чи на об`єктах, крім розміщення окремих видів відходів як вторинної сировини </t>
  </si>
  <si>
    <t>Неподаткові надходження  </t>
  </si>
  <si>
    <t>Доходи від власності та підприємницької діяльності  </t>
  </si>
  <si>
    <t>Інші надходження  </t>
  </si>
  <si>
    <t>Адміністративні штрафи та інші санкції </t>
  </si>
  <si>
    <t>Адміністративні штрафи та штрафні санкції за порушення законодавства у сфері виробництва та обігу алкогольних напоїв та тютюнових виробів </t>
  </si>
  <si>
    <t>Плата за встановлення земельного сервітуту</t>
  </si>
  <si>
    <t>Адміністративні збори та платежі, доходи від некомерційної господарської діяльності </t>
  </si>
  <si>
    <t>Плата за надання адміністративних послуг</t>
  </si>
  <si>
    <t>Плата за надання інших адміністративних послуг</t>
  </si>
  <si>
    <t>Надходження від орендної плати за користування цілісним майновим комплексом та іншим державним майном  </t>
  </si>
  <si>
    <t>Надходження від орендної плати за користування майновим комплексом та іншим майном, що перебуває в комунальній власності</t>
  </si>
  <si>
    <t>Державне мито  </t>
  </si>
  <si>
    <t>Інші неподаткові надходження  </t>
  </si>
  <si>
    <t>Власні надходження бюджетних установ  </t>
  </si>
  <si>
    <t>Надходження від плати за послуги, що надаються бюджетними установами згідно із законодавством </t>
  </si>
  <si>
    <t>Усього доходів (без урахування міжбюджетних трансфертів)</t>
  </si>
  <si>
    <t>Офіційні трансферти  </t>
  </si>
  <si>
    <t>Від органів державного управління  </t>
  </si>
  <si>
    <t>Дотації з державного бюджету місцевим бюджетам</t>
  </si>
  <si>
    <t>Базова дотація </t>
  </si>
  <si>
    <t>Субвенції з державного бюджету місцевим бюджетам</t>
  </si>
  <si>
    <t>Освітня субвенція з державного бюджету місцевим бюджетам </t>
  </si>
  <si>
    <t>Дотації з місцевих бюджетів іншим місцевим бюджетам</t>
  </si>
  <si>
    <t>Інші дотації з місцевого бюджету</t>
  </si>
  <si>
    <t>Субвенції з місцевих бюджетів іншим місцевим бюджетам</t>
  </si>
  <si>
    <t>Інші субвенції з місцевого бюджету</t>
  </si>
  <si>
    <t>Разом доходів</t>
  </si>
  <si>
    <t>X</t>
  </si>
  <si>
    <t>Дотація з місцевого бюджету на здійснення переданих з державного бюджету видатків з утримання закладів освіти та охорони здоров`я за рахунок відповідної додаткової дотації з державного бюджету</t>
  </si>
  <si>
    <t>В.о. начальника фінансового відділу</t>
  </si>
  <si>
    <t>Ганна БОЯРСЬКА</t>
  </si>
  <si>
    <t>14040200</t>
  </si>
  <si>
    <t>Акцизний податок з реалізації суб`єктами господарювання роздрібної торгівлі підакцизних товарів (крім тих, що оподатковуються згідно з підпунктом 213.1.14 пункту 213.1 статті 213 Податкового кодексу України)</t>
  </si>
  <si>
    <t>Додаток 2</t>
  </si>
  <si>
    <t>Святогірської міської військової адміністрації</t>
  </si>
  <si>
    <t>Краматорського району, Донецької області</t>
  </si>
  <si>
    <t>РОЗПОДІЛ</t>
  </si>
  <si>
    <t>0553900000</t>
  </si>
  <si>
    <t>(грн.)</t>
  </si>
  <si>
    <t>Код Програмної класифікації видатків та кредитування місцевого бюджету</t>
  </si>
  <si>
    <t>Код Типової програмної класифікації видатків та кредитування місцевого бюджету</t>
  </si>
  <si>
    <t>Код Функціональної класифікації видатків та кредитування бюджету</t>
  </si>
  <si>
    <t>Найменування головного розпорядника коштів місцевого бюджету/ відповідального виконавця, найменування бюджетної програми згідно з Типовою програмною класифікацією видатків та кредитування місцевого бюджету</t>
  </si>
  <si>
    <t>Разом</t>
  </si>
  <si>
    <t>видатки споживання</t>
  </si>
  <si>
    <t>з них</t>
  </si>
  <si>
    <t>видатки розвитку</t>
  </si>
  <si>
    <t>оплата праці</t>
  </si>
  <si>
    <t>комунальні послуги та енергоносії</t>
  </si>
  <si>
    <t>-</t>
  </si>
  <si>
    <t>0111</t>
  </si>
  <si>
    <t>Керівництво і управління у відповідній сфері у містах (місті Києві), селищах, селах, територіальних громадах</t>
  </si>
  <si>
    <t>0100000</t>
  </si>
  <si>
    <t>0110000</t>
  </si>
  <si>
    <t>0110150</t>
  </si>
  <si>
    <t>0150</t>
  </si>
  <si>
    <t>Організаційне, інформаційно-аналітичне та матеріально-технічне забезпечення діяльності обласної ради, районної ради, районної у місті ради (у разі її створення), міської, селищної, сільської рад</t>
  </si>
  <si>
    <t>0117130</t>
  </si>
  <si>
    <t>7130</t>
  </si>
  <si>
    <t>0421</t>
  </si>
  <si>
    <t>Здійснення заходів із землеустрою</t>
  </si>
  <si>
    <t>0117540</t>
  </si>
  <si>
    <t>7540</t>
  </si>
  <si>
    <t>0460</t>
  </si>
  <si>
    <t>Реалізація заходів, спрямованих на підвищення доступності широкосмугового доступу до Інтернету в сільській місцевості</t>
  </si>
  <si>
    <t>0117680</t>
  </si>
  <si>
    <t>7680</t>
  </si>
  <si>
    <t>0490</t>
  </si>
  <si>
    <t>Членські внески до асоціацій органів місцевого самоврядування</t>
  </si>
  <si>
    <t>0117693</t>
  </si>
  <si>
    <t>7693</t>
  </si>
  <si>
    <t>Інші заходи, пов`язані з економічною діяльністю</t>
  </si>
  <si>
    <t>0118110</t>
  </si>
  <si>
    <t>8110</t>
  </si>
  <si>
    <t>0320</t>
  </si>
  <si>
    <t>Заходи із запобігання та ліквідації надзвичайних ситуацій та наслідків стихійного лиха</t>
  </si>
  <si>
    <t>0119800</t>
  </si>
  <si>
    <t>9800</t>
  </si>
  <si>
    <t>0180</t>
  </si>
  <si>
    <t>Субвенція з місцевого бюджету державному бюджету на виконання програм соціально-економічного розвитку регіонів</t>
  </si>
  <si>
    <t>0600000</t>
  </si>
  <si>
    <t>0610000</t>
  </si>
  <si>
    <t>0610160</t>
  </si>
  <si>
    <t>0160</t>
  </si>
  <si>
    <t>0611010</t>
  </si>
  <si>
    <t>1010</t>
  </si>
  <si>
    <t>0910</t>
  </si>
  <si>
    <t>Надання дошкільної освіти</t>
  </si>
  <si>
    <t>0611021</t>
  </si>
  <si>
    <t>1021</t>
  </si>
  <si>
    <t>0921</t>
  </si>
  <si>
    <t>Надання загальної середньої освіти закладами загальної середньої освіти</t>
  </si>
  <si>
    <t>0611031</t>
  </si>
  <si>
    <t>1031</t>
  </si>
  <si>
    <t>0611080</t>
  </si>
  <si>
    <t>1080</t>
  </si>
  <si>
    <t>0960</t>
  </si>
  <si>
    <t>0611142</t>
  </si>
  <si>
    <t>1142</t>
  </si>
  <si>
    <t>0990</t>
  </si>
  <si>
    <t>Інші програми та заходи у сфері освіти</t>
  </si>
  <si>
    <t>0611200</t>
  </si>
  <si>
    <t>1200</t>
  </si>
  <si>
    <t>Надання освіти за рахунок субвенції з державного бюджету місцевим бюджетам на надання державної підтримки особам з особливими освітніми потребами</t>
  </si>
  <si>
    <t>0611210</t>
  </si>
  <si>
    <t>1210</t>
  </si>
  <si>
    <t>Надання освіти за рахунок залишку коштів за субвенцією з державного бюджету місцевим бюджетам на надання державної підтримки особам з особливими освітніми потребами</t>
  </si>
  <si>
    <t>0612010</t>
  </si>
  <si>
    <t>2010</t>
  </si>
  <si>
    <t>0731</t>
  </si>
  <si>
    <t>Багатопрофільна стаціонарна медична допомога населенню</t>
  </si>
  <si>
    <t>0612111</t>
  </si>
  <si>
    <t>2111</t>
  </si>
  <si>
    <t>0726</t>
  </si>
  <si>
    <t>Первинна медична допомога населенню, що надається центрами первинної медичної (медико-санітарної) допомоги</t>
  </si>
  <si>
    <t>0612141</t>
  </si>
  <si>
    <t>2141</t>
  </si>
  <si>
    <t>0763</t>
  </si>
  <si>
    <t>Програми і централізовані заходи з імунопрофілактики</t>
  </si>
  <si>
    <t>0612142</t>
  </si>
  <si>
    <t>2142</t>
  </si>
  <si>
    <t>Програми і централізовані заходи боротьби з туберкульозом</t>
  </si>
  <si>
    <t>0612143</t>
  </si>
  <si>
    <t>2143</t>
  </si>
  <si>
    <t>Програми і централізовані заходи профілактики ВІЛ-інфекції/СНІДу</t>
  </si>
  <si>
    <t>0612144</t>
  </si>
  <si>
    <t>2144</t>
  </si>
  <si>
    <t>Централізовані заходи з лікування хворих на цукровий та нецукровий діабет</t>
  </si>
  <si>
    <t>0612152</t>
  </si>
  <si>
    <t>2152</t>
  </si>
  <si>
    <t>Інші програми та заходи у сфері охорони здоров`я</t>
  </si>
  <si>
    <t>0614030</t>
  </si>
  <si>
    <t>4030</t>
  </si>
  <si>
    <t>0824</t>
  </si>
  <si>
    <t>Забезпечення діяльності бібліотек</t>
  </si>
  <si>
    <t>0614060</t>
  </si>
  <si>
    <t>4060</t>
  </si>
  <si>
    <t>0828</t>
  </si>
  <si>
    <t>Забезпечення діяльності палаців i будинків культури, клубів, центрів дозвілля та iнших клубних закладів</t>
  </si>
  <si>
    <t>0614082</t>
  </si>
  <si>
    <t>4082</t>
  </si>
  <si>
    <t>0829</t>
  </si>
  <si>
    <t>Інші заходи в галузі культури і мистецтва</t>
  </si>
  <si>
    <t>0800000</t>
  </si>
  <si>
    <t>0810000</t>
  </si>
  <si>
    <t>0810160</t>
  </si>
  <si>
    <t>0813032</t>
  </si>
  <si>
    <t>3032</t>
  </si>
  <si>
    <t>1070</t>
  </si>
  <si>
    <t>Надання пільг окремим категоріям громадян з оплати послуг зв`язку</t>
  </si>
  <si>
    <t>0813050</t>
  </si>
  <si>
    <t>3050</t>
  </si>
  <si>
    <t>Пільгове медичне обслуговування осіб, які постраждали внаслідок Чорнобильської катастрофи</t>
  </si>
  <si>
    <t>0813140</t>
  </si>
  <si>
    <t>3140</t>
  </si>
  <si>
    <t>1040</t>
  </si>
  <si>
    <t>Оздоровлення та відпочинок дітей (крім заходів з оздоровлення дітей, що здійснюються за рахунок коштів на оздоровлення громадян, які постраждали внаслідок Чорнобильської катастрофи)</t>
  </si>
  <si>
    <t>0813171</t>
  </si>
  <si>
    <t>3171</t>
  </si>
  <si>
    <t>Компенсаційні виплати особам з інвалідністю на бензин, ремонт, технічне обслуговування автомобілів, мотоколясок і на транспортне обслуговування</t>
  </si>
  <si>
    <t>0813180</t>
  </si>
  <si>
    <t>3180</t>
  </si>
  <si>
    <t>1060</t>
  </si>
  <si>
    <t>Надання пільг населенню (крім ветеранів війни і праці, військової служби, органів внутрішніх справ та громадян, які постраждали внаслідок Чорнобильської катастрофи) на оплату житлово-комунальних послуг</t>
  </si>
  <si>
    <t>1090</t>
  </si>
  <si>
    <t>0813242</t>
  </si>
  <si>
    <t>3242</t>
  </si>
  <si>
    <t>Інші заходи у сфері соціального захисту і соціального забезпечення</t>
  </si>
  <si>
    <t>0900000</t>
  </si>
  <si>
    <t>Служба у справах дітей Святогірської міської ради</t>
  </si>
  <si>
    <t>0910000</t>
  </si>
  <si>
    <t>0910160</t>
  </si>
  <si>
    <t>0913242</t>
  </si>
  <si>
    <t>1200000</t>
  </si>
  <si>
    <t>1210000</t>
  </si>
  <si>
    <t>1210160</t>
  </si>
  <si>
    <t>1216013</t>
  </si>
  <si>
    <t>6013</t>
  </si>
  <si>
    <t>0620</t>
  </si>
  <si>
    <t>Забезпечення діяльності водопровідно-каналізаційного господарства</t>
  </si>
  <si>
    <t>1216030</t>
  </si>
  <si>
    <t>6030</t>
  </si>
  <si>
    <t>Організація благоустрою населених пунктів</t>
  </si>
  <si>
    <t>1217461</t>
  </si>
  <si>
    <t>7461</t>
  </si>
  <si>
    <t>0456</t>
  </si>
  <si>
    <t>Утримання та розвиток автомобільних доріг та дорожньої інфраструктури за рахунок коштів місцевого бюджету</t>
  </si>
  <si>
    <t>1217463</t>
  </si>
  <si>
    <t>7463</t>
  </si>
  <si>
    <t>Утримання та розвиток автомобільних доріг та дорожньої інфраструктури за рахунок трансфертів з інших місцевих бюджетів</t>
  </si>
  <si>
    <t>1217670</t>
  </si>
  <si>
    <t>Внески до статутного капіталу суб'єктів господарювання</t>
  </si>
  <si>
    <t>1218110</t>
  </si>
  <si>
    <t>1600000</t>
  </si>
  <si>
    <t>1610000</t>
  </si>
  <si>
    <t>1610160</t>
  </si>
  <si>
    <t>3400000</t>
  </si>
  <si>
    <t>3410000</t>
  </si>
  <si>
    <t>Відділ надання адміністративних послуг Святогірської міської ради</t>
  </si>
  <si>
    <t>3410160</t>
  </si>
  <si>
    <t>3700000</t>
  </si>
  <si>
    <t>3710000</t>
  </si>
  <si>
    <t>3710160</t>
  </si>
  <si>
    <t>3719770</t>
  </si>
  <si>
    <t>9770</t>
  </si>
  <si>
    <t>УСЬОГО</t>
  </si>
  <si>
    <t xml:space="preserve">      1. Показники міжбюджетних трансфертів з інших бюджетів</t>
  </si>
  <si>
    <t>Код Класифікації доходу бюджету/ Код бюджету</t>
  </si>
  <si>
    <t>Найменування трансферту/ Найменування бюджету – надавача міжбюджетного трансферту</t>
  </si>
  <si>
    <t>І. Трансферти до загального фонду бюджету</t>
  </si>
  <si>
    <t>41020100</t>
  </si>
  <si>
    <t>99000000000</t>
  </si>
  <si>
    <t>Державний бюджет</t>
  </si>
  <si>
    <t>41033900</t>
  </si>
  <si>
    <t>41040200</t>
  </si>
  <si>
    <t>05100000000</t>
  </si>
  <si>
    <t>Обласний бюджет Донецької області</t>
  </si>
  <si>
    <t>41053900</t>
  </si>
  <si>
    <t>на компенсацію видатків за надання пільг на оплату житлово-комунальних послуг особам з інвалідністю по зору 1 та 2 груп, а також дітям з інвалідністю по зору</t>
  </si>
  <si>
    <t>на забезпечення виплати матеріальної допомоги постраждалим внаслідок Чорнобильської катастрофи</t>
  </si>
  <si>
    <t>ІІ. Трансферти до спеціального фонду бюджету</t>
  </si>
  <si>
    <t xml:space="preserve">УСЬОГО за розділом І та ІІ, у тому числі: </t>
  </si>
  <si>
    <t>загальний фонд</t>
  </si>
  <si>
    <t>спеціальний фонд</t>
  </si>
  <si>
    <t xml:space="preserve">      2. Показники міжбюджетних трансфертів іншим бюджетам</t>
  </si>
  <si>
    <t>Код Програмної класифікації видатків та кредитування місцевого бюджету/ Код бюджету</t>
  </si>
  <si>
    <t xml:space="preserve">Код типової програмної класифікації видатків та кредитування місцевого бюджету </t>
  </si>
  <si>
    <t>Найменування трансферту/ Найменування бюджету – отримувача міжбюджетного трансферту</t>
  </si>
  <si>
    <t>І. Трансферти із загального фонду бюджету</t>
  </si>
  <si>
    <t>Реалізація заходів Програми щодо зміцнення захисту населення, території та об’єктів в Святогірській територіальній громаді  від пожеж, надзвичайних ситуацій, стихійних лих та їх наслідків, шляхом покращення матеріально – технічної бази  82 державної пожежно-рятувальної частини 6 державного пожежно – рятувального загону ГУ ДСНС України у Донецькій області на 2022 рік у вигляді субвенції на придбання пально-мастильних матеріалів</t>
  </si>
  <si>
    <t>Реалізація заходів Програми соціально-економічного розвитку Святогірської територіальної громадиі на 2022 рік у вигляді субвенції для виконання завдань з територіальної оборони та національного спротиву у Краматорському районі  військовій частині А7272 МОУ</t>
  </si>
  <si>
    <t>Реалізація заходів Програми соціально-економічного розвитку Святогірської територіальної громадиі на 2022 рік у вигляді субвенції на проведення поточного ремонту інформаційно-просвітницького центру батальону спеціального призначання "ДОНБАС" ВЧ 3035.</t>
  </si>
  <si>
    <t>Районний бюджет Краматорського району</t>
  </si>
  <si>
    <t>ІІ. Трансферти із спеціального фонду бюджету</t>
  </si>
  <si>
    <t/>
  </si>
  <si>
    <t>Найменування місцевої/ регіональної програми</t>
  </si>
  <si>
    <t>Дата та номер документа, яким затверджено місцеву регіональну програму</t>
  </si>
  <si>
    <t>Цільова соціальна програма щодо зміцнення захисту населення, території та об`єктів в Святогірській територіальній громаді від пожеж, надзвичайних ситуацій, стихійних лих та їх наслідків, шляхом покращення матеріально-технічної бази 82 державної пожежно-ря</t>
  </si>
  <si>
    <t>Рішення Святогірської міської ради від 19.11.2021 № 420-ХVII-8</t>
  </si>
  <si>
    <t>Програма розвитку освіти Святогірської міської територіальної громади на 2021-2024 роки</t>
  </si>
  <si>
    <t>Програма розвитку, підтримки закладів охорони здоров`я та надання медичних послуг понад обсяг, передбачений програмою державних гарантій медичного обслуговування населення Святогірської територіальної громади на 2022-2024 роки</t>
  </si>
  <si>
    <t>Рішення Святогірської міської ради від 21.12.2021 № 475-XVIII-8</t>
  </si>
  <si>
    <t>Програма щодо відшкодування витрат за надані пільги з телекомунікаційних послуг пільговим категоріям населення Святогірської територіальної громади на 2022-2024 роки</t>
  </si>
  <si>
    <t>Рішення Святогірської міської ради від 19.11.2021 № 426-ХVІІ-8</t>
  </si>
  <si>
    <t>Рішення Святогірської міської ради від 19.11.2021 № 425-ХVІІ-8</t>
  </si>
  <si>
    <t>Програма підтримки соціально-незахищених верст населення Святогірської міської територіальної громади "Турбота" на 2021-2025 роки</t>
  </si>
  <si>
    <t>Рішення Святогірської міської ради від 21.07.2021 № 203-ХІІ-8</t>
  </si>
  <si>
    <t xml:space="preserve"> Програма підтримки дітей, які постраждали внаслідок воєнних дій та збройних конфліктів_x000D_
підтримки дітей, які постраждали внаслідок воєнних дій та збройних конфліктів  Святогірської територіальної громади на 2022-2024 роки</t>
  </si>
  <si>
    <t>Рішення Святогірської міської ради від 19.11.2021 № 422-ХVІІ-8</t>
  </si>
  <si>
    <t>1216020</t>
  </si>
  <si>
    <t>Надання загальної середньої освіти закладами загальної середньої освіти за рахунок коштів місцевого бюджету</t>
  </si>
  <si>
    <t>Надання загальної середньої освіти закладами загальної середньої освіти за рахунок освітньої субвенції</t>
  </si>
  <si>
    <t>Забезпечення функціонування підприємств, установ та організацій, що виробляють, виконують та/або надають житлово-комунальні послуги</t>
  </si>
  <si>
    <t xml:space="preserve">до розпорядження начальника </t>
  </si>
  <si>
    <t xml:space="preserve">                         Святогірської міської військової адміністрації</t>
  </si>
  <si>
    <t xml:space="preserve">                         Краматорського району, Донецької області</t>
  </si>
  <si>
    <t xml:space="preserve">                         до розпорядження начальника </t>
  </si>
  <si>
    <t>Субвенція з місцевого бюджету на надання державної підтримки особам з особливими освітніми потребами за рахунок відповідної субвенції з державного бюджету</t>
  </si>
  <si>
    <t>3717370</t>
  </si>
  <si>
    <t>3719150</t>
  </si>
  <si>
    <t>Найменування згідно з Класифікацією фінансування бюджету</t>
  </si>
  <si>
    <t>Фінансування за типом кредитора</t>
  </si>
  <si>
    <t>Внутрішнє фінансування</t>
  </si>
  <si>
    <t>Фінансування за рахунок зміни залишків коштів бюджетів</t>
  </si>
  <si>
    <t>На початок періоду</t>
  </si>
  <si>
    <t>На кінець періоду</t>
  </si>
  <si>
    <t>Кошти, що передаються із загального фонду бюджету до бюджету розвитку (спеціального фонду)</t>
  </si>
  <si>
    <t>Загальне фінансування</t>
  </si>
  <si>
    <t>Фінансування за типом боргового зобов’язання</t>
  </si>
  <si>
    <t>Фінансування за активними операціями</t>
  </si>
  <si>
    <t>Зміни обсягів бюджетних коштів</t>
  </si>
  <si>
    <t>37 1 977 0</t>
  </si>
  <si>
    <t>в тому числі:</t>
  </si>
  <si>
    <t>37 1 9150</t>
  </si>
  <si>
    <t>01 1 980 0</t>
  </si>
  <si>
    <t>Додаток 3</t>
  </si>
  <si>
    <t xml:space="preserve">                         Додаток 4</t>
  </si>
  <si>
    <t>Додаток 5</t>
  </si>
  <si>
    <t>Розпорядження начальника Святогірської міської військової адміністрації від 21.12.2022 № 80 (зі змінами та доповненнями)</t>
  </si>
  <si>
    <t>Рішення Святогірської міської ради від 28.10.2021 № 388-ХVІ-8</t>
  </si>
  <si>
    <t>Розпорядження начальника Святогірської міської військової адміністрації від 21.12.2022 № 80</t>
  </si>
  <si>
    <t>Розділ 2.15. "Житлове господарство та комунальна інфраструктура" Програми соціально-економічного та культурного розвитку Святогірської територіальної громади на 2023 рік</t>
  </si>
  <si>
    <t>Розділ 2.12. "Захист населення і територій від надзвичайних ситуацій" Програми соціально-економічного та культурного розвитку Святогірської територіальної громади на 2023 рік</t>
  </si>
  <si>
    <t>Реалізація інших заходів щодо соціально-економічного розвитку територій</t>
  </si>
  <si>
    <t>0510000000</t>
  </si>
  <si>
    <t>0531820000</t>
  </si>
  <si>
    <t>9900000000</t>
  </si>
  <si>
    <t>В.о. начальника  фінансового відділу</t>
  </si>
  <si>
    <t>Експлуатація та технічне обслуговування житлового фонду</t>
  </si>
  <si>
    <t>0610</t>
  </si>
  <si>
    <t>1217310</t>
  </si>
  <si>
    <t>Будівництво 1 об'єктів житлово-комунального господарства</t>
  </si>
  <si>
    <t>0443</t>
  </si>
  <si>
    <t>Субвенція з місцевого бюджету на здійснення природоохоронних заходів</t>
  </si>
  <si>
    <t>41053600</t>
  </si>
  <si>
    <t>'Розпорядження начальника Святогірської міської військової адміністрації від 21.12.2022 № 80 (зі змінами та доповненнями)</t>
  </si>
  <si>
    <t>Програмаоздоровлення та відпочинку дітей Святогірської територіальної громади на 2022 - 2024 роки.</t>
  </si>
  <si>
    <t>Субвенція з державного бюджету місцевим бюджетам на виплату грошової компенсації за належні для отримання жилі приміщення для внутрішньо переміщених осіб, які захищали незалежність, суверенітет та територіальну цілісність України і брали безпосередню участь в антитерористичній операції, забезпеченні її проведення, перебуваючи безпосередньо в районах антитерористичної операції у період її проведення,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перебуваючи безпосередньо в районах та у період здійснення зазначених заходів, та визнані особами з інвалідністю внаслідок війни III групи відповідно до пунктів 11 - 14 частини другої статті 7 або учасниками бойових дій відповідно до пунктів 19 - 21 частини першої статті 6 Закону України "Про статус ветеранів війни, гарантії їх соціального захисту", та які потребують поліпшення житлових умов</t>
  </si>
  <si>
    <t>0618110</t>
  </si>
  <si>
    <r>
      <t>Субвенція з місцевого бюджету на виплату грошової компенсації за належні для отримання жилі приміщення для внутрішньо переміщених осіб, які захищали незалежність, суверенітет та територіальну цілісність України і брали безпосередню участь в антитерористичній операції, забезпеченні її проведення, перебуваючи безпосередньо в районах антитерористичної операції у період її проведення,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перебуваючи безпосереденьо в районах та у період здійснення зазначених заходів, та визнані особами з інвалідністю внаслідок війни III групи відповідно до </t>
    </r>
    <r>
      <rPr>
        <u/>
        <sz val="14"/>
        <rFont val="Times New Roman"/>
        <family val="1"/>
        <charset val="204"/>
      </rPr>
      <t>пунктів 11 - 14</t>
    </r>
    <r>
      <rPr>
        <sz val="14"/>
        <rFont val="Times New Roman"/>
        <family val="1"/>
        <charset val="204"/>
      </rPr>
      <t> частини другої статті 7 або учасниками бойових дій відповідно до </t>
    </r>
    <r>
      <rPr>
        <u/>
        <sz val="14"/>
        <rFont val="Times New Roman"/>
        <family val="1"/>
        <charset val="204"/>
      </rPr>
      <t>пунктів 19 - 20</t>
    </r>
    <r>
      <rPr>
        <sz val="14"/>
        <rFont val="Times New Roman"/>
        <family val="1"/>
        <charset val="204"/>
      </rPr>
      <t> частини першої статті 6 Закону України "Про статус ветеранів війни, гарантії їх соціального захисту", та які потребують поліпшення житлових умов за рахунок відповідної субвенції з державного бюджету</t>
    </r>
  </si>
  <si>
    <t>41050600</t>
  </si>
  <si>
    <t>Субвенція з місцевого бюджету на виплату грошової компенсації за належні для отримання жилі приміщення для внутрішньо переміщених осіб, які захищали незалежність, суверенітет та територіальну цілісність України і брали безпосередню участь в антитерористичній операції, забезпеченні її проведення, перебуваючи безпосередньо в районах антитерористичної операції у період її проведення,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перебуваючи безпосереденьо в районах та у період здійснення зазначених заходів, та визнані особами з інвалідністю внаслідок війни III групи відповідно до пунктів 11 - 14 частини другої статті 7 або учасниками бойових дій відповідно до пунктів 19 - 20 частини першої статті 6 Закону України "Про статус ветеранів війни, гарантії їх соціального захисту", та які потребують поліпшення житлових умов за рахунок відповідної субвенції з державного бюджету</t>
  </si>
  <si>
    <t>на відшкодування вартості путівки до дитячого закладу оздоровлення та відпочинку для оздоровлення або відпочинку дітей, які виховуються в сім'ях з дітьми, у тому числі тих, які зареєстровані/задекларовані на території Донецької області та переместились (евакуювались) за її межі)</t>
  </si>
  <si>
    <t>Субвенція з місцевого бюджету на облаштування безпечних умов у закладах загальної середньої освіти за рахунок відповідної субвенції з державного бюджету</t>
  </si>
  <si>
    <t>Субвенція з місцевого бюджету на проектування, відновлення, будівництво, модернізацію, облаштування, ремонт об'єктів будівництва громадського призначення, соціальної сфери, культурної спадщини, житлово-комунального господарства, інших об'єктів, що мають вплив на життєдіяльність населення, за рахунок відповідної субвенції з державного бюджету</t>
  </si>
  <si>
    <t>0617384</t>
  </si>
  <si>
    <t>Реалізація проектів і заходів за рахунок залишку коштів спеціального фонду державного бюджету, що утворилися станом на 01 січня 2023 року, джерелом формування яких були кредити (позики) від Європейського інвестиційного банку</t>
  </si>
  <si>
    <t>Розділ 2.7. "Освіта"   Програми соціально-економічного та культурного розвитку Святогірської територіальної громади на 2023 рік</t>
  </si>
  <si>
    <t>Заходи щодо забезпечення деевинною паливною (дровами) окремих категорій громадян Святогірської міської територіальної громади" Програми соціально-економічного та культурного розвитку Святогірської територіальної громади на 2023 рік</t>
  </si>
  <si>
    <t>Субвенція з місцевого бюджету за рахунок залишку коштів субвенції на надання державної підтримки особам з особливими освітніми потребами, що утворився на початок бюджетного періоду</t>
  </si>
  <si>
    <t>Надання освіти за рахунок залишку коштів за субвенцією з державного бюджету місцевим бюджетам на надання державної підтримки особам з особливими освітніми потребами на кінець бюджетного періоду</t>
  </si>
  <si>
    <t>Програма підтримки та інтеграції внутрішньо переміщених осіб Краматорського району, які тимчасово компактно проживають у більш безпечних регіонах України на 2023 рік</t>
  </si>
  <si>
    <t>Акцизний податок з реалізації виробниками та/або імпортерами, у тому числі в роздрібній торгівлі тютюнових виробів, тютюну та промислових замінників тютюну, рідин, що використовуються в електронних сигаретах, що оподатковується згідно з підпунктом 213.1.14 пункту 213.1 статті 213 Податкового кодексу України</t>
  </si>
  <si>
    <t xml:space="preserve">Проект 'розпорядження начальника Святогірської міської військової адміністрації </t>
  </si>
  <si>
    <t>Податок на доходи фізичних осіб у вигляді мінімального податкового зобов'язання, що підлягає сплаті фізичними особами</t>
  </si>
  <si>
    <t>Плата за оренду майна бюджетних установ, що здійснюється відповідно до Закону України "Про оренду державного та комунального майна </t>
  </si>
  <si>
    <t>0114030</t>
  </si>
  <si>
    <t>0114060</t>
  </si>
  <si>
    <t>0114082</t>
  </si>
  <si>
    <t>на надання матеріальної допомоги членам сімей загиблих (померлих) Захисників та Захисниць України, у тому числі тим, які задекларовані/зареєстровані на території Донецької області та переместилися (евакуювалися) за її межі</t>
  </si>
  <si>
    <t>на надання матеріальної допомоги постраждалим внаслідок Чорнобильської катастрофи, у тому числі тим, які задекларовані/зареєстровані на території Донецької області та переместилися (евакуювалися) за її межі</t>
  </si>
  <si>
    <t>05504000000</t>
  </si>
  <si>
    <t>Бюджет Миколаївської міської територіальної громади</t>
  </si>
  <si>
    <t xml:space="preserve">на вивиконання заходу "Підвищення обороноздатності та підтримки високого рівня боєготовності військової частини А 7037 для виконання завдань територіальної оборони Краматорського району" проекту Програми забезпечення заходів з підготовки територіальної оборони Краматорського району на 2025-2026 роки для придбання безпілотних літальних апаратів </t>
  </si>
  <si>
    <t>«Програми економічного і соціального розвитку Святогірської міської територіальної  громади на 2025 рік»</t>
  </si>
  <si>
    <t xml:space="preserve">розпорядження начальника Святогірської міської військової адміністрації 27.05.2024.року № 630 </t>
  </si>
  <si>
    <t>Розділ 2.11. "Культура і туризм"«Програми економічного і соціального розвитку Святогірської міської територіальної  громади на 2025 рік»</t>
  </si>
  <si>
    <t>Відділ освіти Святогірської міської ради</t>
  </si>
  <si>
    <t>Розпорядження начальника Святогірської міської військової адміністрації від 24.12.2024 №1158</t>
  </si>
  <si>
    <t>Розпорядження начальника Святогірської міської військової адміністрації від 03.12.2024 № 1113                                                            'Розпорядження начальника Святогірської міської військової адміністрації від 24.12.2024 №1158</t>
  </si>
  <si>
    <t>Програма пібтримки громадян  Святогірської міської територіальної громади, які постраждали внаслідок Чорнобильської катастрофи</t>
  </si>
  <si>
    <t>Програма "Розвиток, реконструкція і ремонт дорожньої і пішохідно-тротуарної мережі Святогірської міської територіальної громади на 2025 рік'         Розділ 2.5. "Дорожньо-транспортний комплекс" Програми економічного і соціального розвитку Святогірської територіальної громади на 2025 рік"</t>
  </si>
  <si>
    <t>0813121</t>
  </si>
  <si>
    <t>3121</t>
  </si>
  <si>
    <t>Здійснення соціальної роботи та надання соціальних послуг центрами соціальних служб та центрами надання соціальних послуг особам/сімям, які належать до вразливих груп населення та/або перебувають у складних життєвих обставинах</t>
  </si>
  <si>
    <t>Субвенція з державного бюджету місцевим бюджетам на надання державної підтримки особам з особливими освітніми потребами</t>
  </si>
  <si>
    <t>Субвенція з державного бюджету місцевим бюджетам на здійснення доплат педагогічним працівникам закладів загальної середньої освіти</t>
  </si>
  <si>
    <t>0611600</t>
  </si>
  <si>
    <t>Здійснення доплат педагогічним працівникам закладів загальної середньої освіти за рахунок субвенції з державного бюджету місцевим бюджетам</t>
  </si>
  <si>
    <t>Проведення (надання) додаткових психолого-педагогічних і корекційно-розвиткових занять (послуг) за рахунок субвенції з державного бюджету місцевим бюджетам на надання державної підтримки особам з особливими освітніми потребами</t>
  </si>
  <si>
    <t xml:space="preserve">на здійснення заходів із запобігання виникненню надзвичайних ситуацій в регіоні та ліквідації їх наслідків, з оборони та захисту територій Донецької області та інших невідкладних дій, пов'язаних з воєнним станом </t>
  </si>
  <si>
    <t>Відділ освіти Святогірської міської ради Краматопського району Донецької області</t>
  </si>
  <si>
    <t>Святогірська міська рада Краматорського району Донецької області</t>
  </si>
  <si>
    <t>Святогірська міська військова адміністрація Краматорського району Донецької області</t>
  </si>
  <si>
    <t>Відділ соціального захисту населення Святогірської міської ради Краматорського району Донецької області</t>
  </si>
  <si>
    <t>Служба у справах дітей Святогірської міської ради Краматорського району Донецької області</t>
  </si>
  <si>
    <t>Відділ комунальної власності, житлово комунального господарства, будівництва, транспорту та благоустрою Святогірської міської ради Краматорського району Донецької області</t>
  </si>
  <si>
    <t>Відділ архітетктурно-будівельного контролю Святогірської міської ради Краматорського району Донецької області</t>
  </si>
  <si>
    <t>Центр надання адміністративних послуг Святогірської міської ради Краматорського району Донецької області</t>
  </si>
  <si>
    <t>Фінансовий відділ Святогірської міської ради Краматорського району Донецької області</t>
  </si>
  <si>
    <t>Святогiрська мiська військова адміністрація Краматорського району Донецької області</t>
  </si>
  <si>
    <t>Святогiрська мiська рада Краматорського району Донецької області</t>
  </si>
  <si>
    <t>Відділ комунальної власності, житлово-комунального господарства, будівництва, транспорту та благоустрою Святогірської міської ради Краматорського району Донецької області</t>
  </si>
  <si>
    <t xml:space="preserve"> "Програми економічного і соціального розвитку Святогірської територіальної громади на 2025 рік"</t>
  </si>
  <si>
    <t>Програма оздоровлення та відпочинку дітей Святогірської територіальної громади на 2025-2027 роки.</t>
  </si>
  <si>
    <t>'Розпорядження начальника Святогірської міської військової адміністрації від 02.12.2024 №1105</t>
  </si>
  <si>
    <t>Надання спеціалізованої освіти мистецькими школами</t>
  </si>
  <si>
    <t xml:space="preserve"> 
Надання спеціалізованої освіти мистецькими школами</t>
  </si>
  <si>
    <t xml:space="preserve">Субвенція з місцевого бюджету державному бюджету на виконання програм соціально-економічного розвитку регіонів
</t>
  </si>
  <si>
    <t xml:space="preserve"> на надання допомоги ГУ СБУ в Донецькій та Луганській областях для покращення матеріально-технічного забезпечення для виконання військового обов'язку, припинення діяльності незаконних воєнізованих формувань, виявлення та припинення розвідувально-підривної діяльності країни-агресора, виконання завдань із захисту і охорони життя, прав, свобод і законних інтересів громадян України, суспільства і держави від злочинних та інших протиправних посягань</t>
  </si>
  <si>
    <t xml:space="preserve">                                                                                                                                                                             </t>
  </si>
  <si>
    <t>на преміювання працівників Святогірської ТГ, які сумліно виконують свої функціональні обов'язки в напружених умовах у період воєного стану та з дня гагоди професійного свята - Дня медичного працівника</t>
  </si>
  <si>
    <t>Розділ 2.7. "Освіта"  п.1 "роведення експертної оцінки пошкоджень заладів освіти"  Програма економічного I соціально розвитку Святогірської територіальної громади на 2025 рік</t>
  </si>
  <si>
    <t>Послуги із провденням технічного обслуговування транспортних засобів 6 ДПРЗ ГУ
ДСНС України у Донецькій області</t>
  </si>
  <si>
    <t>Забезпечення екологічно безпечного збирання, перевезення, зберігання, оброблення, видалення і захоронення відходів, а саме: здійснення заходів із локалізації і ліквідації несанкціонованих звалищ відходів на території Святогірської міської територіальної громади Краматорського району Донецької області</t>
  </si>
  <si>
    <t xml:space="preserve"> Розпорядження начальника Святогірської міської військової адміністрації від 23.12.2024 №1158</t>
  </si>
  <si>
    <t>на співфінансування капітального ремонту підвального приміщення багатоповерхового будинку «Капітальний ремонт внутрішніх підвальних приміщень для облаштування споруди цивільного захисту (найпростішого укриття) за адресою: Донецька область, Краматорський р-н, м.Святогірськ, вул. Мазепи Івана, 57»</t>
  </si>
  <si>
    <t>Субвенція з місцевого бюджету на реалізацію проектів співробітництва між територіальними громадами</t>
  </si>
  <si>
    <t>19556000000</t>
  </si>
  <si>
    <t>Бюджет Великоберезовицької селищної територіальної громади</t>
  </si>
  <si>
    <t>41053800</t>
  </si>
  <si>
    <t>22523000000</t>
  </si>
  <si>
    <t xml:space="preserve"> на поточний ремонт комунальної власності, які є складовими трансплртно-логістичної системи в умовах воєнного стану, за рахунок іншої субвенції з місцевого бюджету</t>
  </si>
  <si>
    <t xml:space="preserve">  Розділ 2.5. "Дорожньо-транспортний комплекс" Програми економічного і соціального розвитку Святогірської територіальної громади на 2025 рік"</t>
  </si>
  <si>
    <t xml:space="preserve">       'Розпорядження начальника Святогірської міської військової адміністрації від 24.12.2024 №1158</t>
  </si>
  <si>
    <t>'Інші заходи у сфері соціального захисту і соціального забезпечення</t>
  </si>
  <si>
    <t>Бюджет Великоберезовицької селищної територіальної громади Тернопільського району Тернопільської області</t>
  </si>
  <si>
    <t>Бюджет Чемеровецкої селищної територіальної громади Кам'янець-Подільського району Хмельницької області</t>
  </si>
  <si>
    <t>на здійснення заходів з оборони та захисту території області та інших невідкладних дій у період воєнного стану</t>
  </si>
  <si>
    <t xml:space="preserve">Орендна плата за водні об'єкти (їх частини), що надаються в користування на умовах оренди Радою міністрів Автономної Республіки Крим, обласними, районними, Київською та Севастопольською міськими державними адміністраціями, місцевими радами </t>
  </si>
  <si>
    <t>Доходи місцевого бюджету на 2026 рік</t>
  </si>
  <si>
    <t>ФІНАНСУВАННЯ
місцевого бюджету на 2026 рік</t>
  </si>
  <si>
    <t>видатків місцевого бюджету на 2026 рік</t>
  </si>
  <si>
    <t>0813160</t>
  </si>
  <si>
    <t>Надання соціальних гарантій фізичним особам, які надають соціальні послуги громадянам похилого віку, особам з інвалідністю, дітям з інвалідністю, хворим, які не здатні до самообслуговування і потребують сторонньої допомоги</t>
  </si>
  <si>
    <t>0813191</t>
  </si>
  <si>
    <t>Інші видатки на соціальний захист ветеранів війни та праці</t>
  </si>
  <si>
    <t>0913114</t>
  </si>
  <si>
    <t>Забезпечення умов для догляду та виховання дітей і молоді в дитячих будинках сімейного типу, прийомних сім’ях та сім’ях патронатних вихователів</t>
  </si>
  <si>
    <t>Міжбюджетні трансферти на 2026 рік</t>
  </si>
  <si>
    <t>на фінансування Програми Фінансової підтримки комунального підприємства Краматорської районної ради "Трудовий архів" на 2026 рік</t>
  </si>
  <si>
    <t>на фінансування Програми підтримки та інтеграції мешканців Краматорського району, які мають статус внутрішньо переміщених осіб та тимчасово компактно проживають у більш безпечних регіонах України на 2026 рік</t>
  </si>
  <si>
    <t>для фінансового забезпечення реалізації виконання Постанови КМУ від 25.04.2023 №391 "Деякі питання оплати праці працівників державних органів та органів місцевого самоврядування під час воєнного стану" та від 09.11.2016 №787 "Про видатки на оплату праці працівників місцевих державних адміністрацій" (зі змінами) Краматорської районною державною адміністрацією, районною військовою адміністрацією та її структурними підрозділами проекту Програми економічного соціального розвитку Краматорського району на 2026 рік</t>
  </si>
  <si>
    <t>фінансування Цільової Програми підтримки соціального захисту населення Краматорського району на 2026 рік</t>
  </si>
  <si>
    <t>Проєкт 'Розпорядження начальника Святогірської міської військової адміністрації від  №</t>
  </si>
  <si>
    <t>Розподіл витрат місцевого бюджету на реалізацію місцевих/регіональних програм у 2026 році та заходів  Програми економічного і соціального розвитку Святогірської міської територіальної громади на 2026 рік</t>
  </si>
  <si>
    <t>«Програми економічного і соціального розвитку Святогірської міської територіальної  громади на 2026 рік»</t>
  </si>
  <si>
    <t>Програма підтримки соціального захисту населення Краматорського району на 2026 рік</t>
  </si>
  <si>
    <t>Програма фінансової підтримки комунального підприємства Краматорської районної ради "Трудовий архів" на 2026 рік</t>
  </si>
  <si>
    <t>Програма підтримки та інтеграції мешканців Краматорського району, які мають статус внутрішньо переміщених осіб та тимчасово компактно проживають у більш безпечних регіонах України на 2026 рік</t>
  </si>
  <si>
    <t>Здійснення соціальної роботи та надання соціальних послуг центрами соціальних служб та центрами надання соціальних послуг особам/сім’ям, які належать до вразливих груп населення та/або перебувають у складних життєвих обставинах</t>
  </si>
  <si>
    <t xml:space="preserve"> 
Надання соціальних гарантій фізичним особам, які надають соціальні послуги громадянам похилого віку, особам з інвалідністю, дітям з інвалідністю, хворим, які не здатні до самообслуговування і потребують сторонньої допомоги</t>
  </si>
  <si>
    <t>Програма надання соціальних гарантій фізичним особам, які надають соціальні послуги з догляду на непрофесійній основі на 2024 – 2026 роки, розділ 2.17  "Програми економічного і соціального розвитку Святогірської міської територіальної громади на 2026 рік"</t>
  </si>
  <si>
    <t>Програма соціальної підтримки ветеранів війни, Захисників та Захисниць України, військовослужбовців, членів сімей загиблих військовослужбовців Святогірської міської територіальної громади на 2026 рік</t>
  </si>
  <si>
    <t>Комплексна програма захисту прав дітей «Дитинство» Святогірської міської територіальної громади на 2026 -2028 роки</t>
  </si>
  <si>
    <t xml:space="preserve"> на надання фінансової підтримки ОКП «Донецьктеплокомуненерго»  для забезпечення здійснення розрахунків за електричну енергію, послуги з її розподілу та перетікань реактивної електроенергії</t>
  </si>
  <si>
    <t>на забезпечення виконання завдань по розділу "Охорони здоров'я" Програми економічного і соціального розвитку Святогірської територіальної громади на 2026 рік</t>
  </si>
  <si>
    <t>Програма економічного і соціального розвитку Святогірської міської територіальної  громади на 2026 рік»</t>
  </si>
  <si>
    <t>Фінансове забезпечення Краматорської військової адміністрації Програми соціального і економічного розвитку Краматорського району Донецької області</t>
  </si>
  <si>
    <t>На забезпечення виконання завдань по розділу 2.14 "Охорони здоров'я" Програми економічного і соціального розвитку Святогірської територіальної громади на 2026 рік</t>
  </si>
  <si>
    <t>Субвенція  обласному бюджету на надання фінансової підтримки ОКП «Донецьктеплокомуненерго»  для забезпечення здійснення розрахунків за електричну енергію, послуги з її розподілу та перетікань реактивної електроенергії</t>
  </si>
  <si>
    <t>Розділ 2.1 "Захист населення і територій від надзвичайних ситуацій" Програми економічного і соціального розвитку Святогірської територіальної громади на 2026 рік</t>
  </si>
  <si>
    <t>Розділ 2.16  "Культура та утвердження національної і локальної ідентичності" Програми економічного і соціального розвитку Святогірської територіальної громади на 2026 рік</t>
  </si>
  <si>
    <t xml:space="preserve"> розділ 2.17 "Соціальний захист населення, у тому числі з числа внутрішньо переміщених осіб. Підтримка ветеранів війни, членів їх сімей та сімей загиблих (померлих) Захисників та Захисниць України" Програми економічного і соціального розвитку Святогірської міської територіальної громади на 2026 рік"</t>
  </si>
  <si>
    <t>Розділ 2.17 "Соціальний захист населення, у тому числі з числа внутрішньо переміщених осіб. Підтримка ветеранів війни, членів їх сімей та сімей загиблих (померлих) Захисників та Захисниць України" Програми економічного і соціального розвитку Святогірської міської територіальної громади на 2026 рік"</t>
  </si>
  <si>
    <t>Розділ 2.4 "Житлове господарство та комунальна інфраструктура, енергозабезпечення та енергоефективність" Програми економічного і соціального розвитку Святогірської міської територіальної громади на 2026 рік"</t>
  </si>
  <si>
    <t>Додаткова дотація з державного бюджету на функціонування територій на яких ведуться бойові дії</t>
  </si>
  <si>
    <t xml:space="preserve">на виконання окремих державних програм соціального захисту населення: пільгове медичне обслуговування осіб, які постраждали внаслідок Чорнобильської катастрофи; поховання учасників бойових дій та осіб з інвалідністю внаслідок війни; компенсаційні виплати особам з інвалідністю на бензин, ремонт, технічне обслуговування автомобілів, мотоколясок і на транспортне обслуговування; встановлення телефонів особам з інвалідністю I і II груп </t>
  </si>
  <si>
    <t xml:space="preserve">Розпорядження голови Краматорської районної державної адміністрації, начальника Краматорської районної військової адміністрації  </t>
  </si>
  <si>
    <t xml:space="preserve">                         24.12.2025 № 764</t>
  </si>
  <si>
    <t>24.12.2025 № 764</t>
  </si>
  <si>
    <t>24.12.2025   № 764</t>
  </si>
  <si>
    <t xml:space="preserve">(в редакції розпорядження начальника </t>
  </si>
  <si>
    <t xml:space="preserve">                         (в редакції розпорядження начальника </t>
  </si>
  <si>
    <t xml:space="preserve">Сприяння зміцненню матеріально-технічного забезпечення пожежо-рятувальних підрозділів 6 ДПРЗ ГУ ДСНС України у Донецькій області шляхом придбання вантажного автомобіля загального призначення </t>
  </si>
  <si>
    <t xml:space="preserve"> Розпорядження начальника Святогірської міської військової адміністрації від 19.01.2026 №16</t>
  </si>
  <si>
    <t>Розділ 2.1 "Захист населення і територій від надзвичайних ситуацій  'Програми економічного і соціального розвитку Святогірської територіальної громади на 2026 рік</t>
  </si>
  <si>
    <t>Програми підтримки
громадян Святогірської міської територіальної громади, які постраждали внаслідок Чорнобильської катастрофи на 2026-2027 роки, розділ                                 2.17 "Соціальний захист населення, у тому числі з числа внутрішньо переміщених осіб. Підтримка ветеранів війни, членів їх сімей та сімей загиблих (померлих) Захисників та Захисниць України" Програми економічного і соціального розвитку Святогірської міської територіальної громади на 2026 рік"</t>
  </si>
  <si>
    <t xml:space="preserve"> Розпорядження начальника Святогірської міської військової адміністрації від 27.01.2026 №47                                                       Розпорядження начальника Святогірської міської військової адміністрації від 07.01.2026 №1 </t>
  </si>
  <si>
    <t>Розпорядження начальника Святогірської міської військової адміністрації від 07.01.2026 №1                                                          Розпорядження начальника Святогірської міської військової адміністрації від 19.01.2026 №16</t>
  </si>
  <si>
    <t xml:space="preserve">Розпорядження начальника Святогірської міської військової адміністрації від 07.01.2026 №1 </t>
  </si>
  <si>
    <t xml:space="preserve"> Розпорядження начальника Святогірської міської військової адміністрації від 19.01.2026 №16                                        Розпорядження начальника Святогірської міської військової адміністрації від 07.01.2026 №1 </t>
  </si>
  <si>
    <t>Розпорядження начальника Святогірської міської військової адміністрації від 07.01.2026 №2</t>
  </si>
  <si>
    <t>05541000000</t>
  </si>
  <si>
    <t>Бюджет Слов'янської міської територіальної громади</t>
  </si>
  <si>
    <t>Програма оздоровлення та відпочинку дітей Святогірської територіальної громади на 2025-2027 роки</t>
  </si>
  <si>
    <t>Розпорядження начальника Святогірської міської військової адміністрації  від 02.12.2024 № 1105</t>
  </si>
  <si>
    <t xml:space="preserve"> Розпорядження начальника Святогірської міської військової адміністрації від 19.01.2026 №16 (зі змінами)</t>
  </si>
  <si>
    <t>Розпорядження начальника Святогірської міської військової адміністрації  від 23.02.2026 № 91</t>
  </si>
  <si>
    <t>на закупівлю причепу вантажопід'ємністю 5тонн для транспортування палебійних установок які використовуються для облаштування доріг антидроновим захистом</t>
  </si>
  <si>
    <t xml:space="preserve"> надання матеріально-технічноїдопомоги на облаштування житлових приміщень прийомних сімей та дитячих будинків сімейного типу Програма підтримки та розвитку сімейних форм виховання Святогірської територіальної громади на 2026-2028 роки</t>
  </si>
  <si>
    <t xml:space="preserve">  придбання подарунків для дітей, що опинились в складних життєвих обставинах  Програма підтримки та розвитку сімейних форм виховання Святогірської територіальної громади на 2026-2028 роки</t>
  </si>
  <si>
    <t>для погашення податкового боргу зі сплати земельного податку КП Слов'янської міської ради "Словміськводоканал"</t>
  </si>
  <si>
    <t>Додаткова дотація з державного бюджету місцевим бюджетам на здійснення повноважень органів місцевого самоврядування на деокупованих, тимчасово окупованих та інших територіях України, що зазнали негативного впливу у зв'язку з повномасштабною збройною агресією Російської Федерації</t>
  </si>
  <si>
    <t>на відшкодування вартості санаторно-курортного лікування ветеранів війни, у тому числі тих, які мають задеклароване/зареєстроване місце проживання (перебування) на території Донецької області та перемістились (евакуювались) за її межі</t>
  </si>
  <si>
    <t>фінансова підтримка ОКП "ДТКЕ" для здійснення розрахунків, щодо погашення заборгованності з ПДФО</t>
  </si>
  <si>
    <t>на надання фінансової підтримки ОКП  "Донецьктеплокомуненерго" для забезпечення погашення кредиторської заборгованості зі сплати податку на доходи фізичних осіб</t>
  </si>
  <si>
    <t>0554100000</t>
  </si>
  <si>
    <t>на відшкодування вартості путівки до дитячого закладу оздоровлення та відпочинку і соціальної уваги та підтримку та дітей, які виховуються в сім'ях з дітьми, у тому числі тих, які мають задеклароване/зареєстроване місце проживання на території Донецької області та переместились (евакуювались) за її межі</t>
  </si>
  <si>
    <t>встановлення намогильного пам'ятника, ескіз якого затверджено Протоколом засідання робочої групи з визначення єдиного стилю та вигляду пам'ятників (нагробків), що відповідають загальної концепції Алеї Слави почесного поховання загиблих захисників і захисниць України  у м. Слов'янськ від 11.08.2025 року могилі Кошелєва Дмитра Володимировича</t>
  </si>
  <si>
    <t>Розпорядження голови Краматорської районної державної адміністрації, начальника Краматорської районної військової адміністрації</t>
  </si>
  <si>
    <t xml:space="preserve"> Розпорядження начальника Святогірської міської військової адміністрації від 19.01.2026 №16 </t>
  </si>
  <si>
    <t>дотація обласному бюджету на здійснення заходів з оборони та захисту території області та інших невідкладних дій у період воєнного стану</t>
  </si>
  <si>
    <t>Дотація бюджету Слов`янської міської територіальної громади встановлення намогильного пам'ятника, ескіз якого затверджено Протоколом засідання робочої групи з визначення єдиного стилю та вигляду пам'ятників (нагробків), що відповідають загальної концепції Алеї Слави почесного поховання загиблих захисників і захисниць України  у м. Слов'янськ від 11.08.2025 року могилі Кошелєва Дмитра Володимировича</t>
  </si>
  <si>
    <t>субвенція бюджету Слов`янської міської територіальної громади для погашення податкового боргу зі сплати земельного податку КП Слов'янської міської ради "Словміськводоканал"</t>
  </si>
  <si>
    <t>на придбання необхідного майна та обладнання для забезпечення належних умов функціонування наметів ПНМ 6-10 та ПНМ 6-12, зокрема: розкладними столами, стільцями, баками для сміття та інших матеріальних цінностей, необхідних для їх облаштування, організації побутових умов та забезпечення належного функціонування пунктів життєзабезпечення</t>
  </si>
  <si>
    <t>Розділ 2.7. "Освіта"    Програма економічного I соціально розвитку Святогірської територіальної громади на 2026 рік</t>
  </si>
  <si>
    <t>0116088</t>
  </si>
  <si>
    <t xml:space="preserve">Співфінансування заходів, що реалізуються за рахунок субвенції з державного бюджету місцевим бюджетам на формування фондів житла для тимчасового проживання або підтриманого проживання евакуйованих та внутрішньо переміщених осіб і заходів щодо забезпечення їх житлом у сільській місцевості
</t>
  </si>
  <si>
    <t>Співфінансування заходів, що реалізуються за рахунок субвенції з державного бюджету місцевим бюджетам на формування фондів житла для тимчасового проживання або підтриманого проживання евакуйованих та внутрішньо переміщених осіб і заходів щодо забезпечення їх житлом у сільській місцевості</t>
  </si>
  <si>
    <t>2.17.  Соціальний захист населення, у тому числі з числа внутрішньо переміщених осіб. Підтримка ветеранів війни, членів їх сімей та сімей загиблих (померлих) Захисників та Захисниць.                Реалізація експериментального проекту щодо забезпечення внутрішньо переміщених осіб житлом у сільській місцевості УкраїниПрограма економічного і соціального розвитку Святогірської міської територіальної громади на 2026 рік</t>
  </si>
  <si>
    <t>24.09.2026 № 520 )</t>
  </si>
  <si>
    <t>24.09.2026 № 520)</t>
  </si>
  <si>
    <t xml:space="preserve">                         24.09.2026 № 520)</t>
  </si>
  <si>
    <t xml:space="preserve">24.09.2026 № 520) </t>
  </si>
  <si>
    <t>Краматорського району Донецької області</t>
  </si>
  <si>
    <t xml:space="preserve">                          Краматорського району Донецької області</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</si>
</sst>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00;\-#,##0.00;#,&quot;-&quot;"/>
    <numFmt numFmtId="165" formatCode="0&quot;  &quot;"/>
    <numFmt numFmtId="166" formatCode="0000&quot;    &quot;"/>
    <numFmt numFmtId="167" formatCode="#,##0.00_ ;\-#,##0.00\ "/>
  </numFmts>
  <fonts count="26" x14ac:knownFonts="1">
    <font>
      <sz val="10"/>
      <color theme="1"/>
      <name val="Calibri"/>
      <family val="2"/>
      <charset val="204"/>
      <scheme val="minor"/>
    </font>
    <font>
      <sz val="11"/>
      <color theme="1"/>
      <name val="Calibri"/>
      <family val="2"/>
      <charset val="204"/>
      <scheme val="minor"/>
    </font>
    <font>
      <b/>
      <sz val="10"/>
      <color theme="1"/>
      <name val="Calibri"/>
      <family val="2"/>
      <charset val="204"/>
      <scheme val="minor"/>
    </font>
    <font>
      <sz val="10"/>
      <color theme="1"/>
      <name val="Calibri"/>
      <family val="2"/>
      <charset val="204"/>
      <scheme val="minor"/>
    </font>
    <font>
      <sz val="14"/>
      <color theme="1"/>
      <name val="Times New Roman"/>
      <family val="1"/>
      <charset val="204"/>
    </font>
    <font>
      <b/>
      <sz val="14"/>
      <color theme="1"/>
      <name val="Times New Roman"/>
      <family val="1"/>
      <charset val="204"/>
    </font>
    <font>
      <b/>
      <u/>
      <sz val="14"/>
      <color theme="1"/>
      <name val="Times New Roman"/>
      <family val="1"/>
      <charset val="204"/>
    </font>
    <font>
      <i/>
      <sz val="14"/>
      <color theme="1"/>
      <name val="Times New Roman"/>
      <family val="1"/>
      <charset val="204"/>
    </font>
    <font>
      <sz val="10"/>
      <name val="Helv"/>
      <charset val="204"/>
    </font>
    <font>
      <b/>
      <sz val="14"/>
      <name val="Times New Roman"/>
      <family val="1"/>
      <charset val="204"/>
    </font>
    <font>
      <b/>
      <i/>
      <sz val="14"/>
      <name val="Times New Roman"/>
      <family val="1"/>
      <charset val="204"/>
    </font>
    <font>
      <sz val="14"/>
      <name val="Times New Roman"/>
      <family val="1"/>
      <charset val="204"/>
    </font>
    <font>
      <i/>
      <sz val="12"/>
      <name val="Times New Roman"/>
      <family val="1"/>
      <charset val="204"/>
    </font>
    <font>
      <b/>
      <i/>
      <sz val="12"/>
      <name val="Times New Roman"/>
      <family val="1"/>
      <charset val="204"/>
    </font>
    <font>
      <i/>
      <sz val="14"/>
      <name val="Times New Roman"/>
      <family val="1"/>
      <charset val="204"/>
    </font>
    <font>
      <sz val="14"/>
      <color rgb="FF333333"/>
      <name val="Times New Roman"/>
      <family val="1"/>
      <charset val="204"/>
    </font>
    <font>
      <sz val="12"/>
      <name val="Times New Roman"/>
      <family val="1"/>
      <charset val="204"/>
    </font>
    <font>
      <u/>
      <sz val="14"/>
      <name val="Times New Roman"/>
      <family val="1"/>
      <charset val="204"/>
    </font>
    <font>
      <b/>
      <i/>
      <sz val="14"/>
      <color theme="1"/>
      <name val="Times New Roman"/>
      <family val="1"/>
      <charset val="204"/>
    </font>
    <font>
      <sz val="12"/>
      <color rgb="FF333333"/>
      <name val="Times New Roman"/>
      <family val="1"/>
      <charset val="204"/>
    </font>
    <font>
      <b/>
      <sz val="12"/>
      <color rgb="FF333333"/>
      <name val="Times New Roman"/>
      <family val="1"/>
      <charset val="204"/>
    </font>
    <font>
      <u/>
      <sz val="10"/>
      <color theme="10"/>
      <name val="Calibri"/>
      <family val="2"/>
      <charset val="204"/>
      <scheme val="minor"/>
    </font>
    <font>
      <i/>
      <sz val="10"/>
      <color theme="1"/>
      <name val="Calibri"/>
      <family val="2"/>
      <charset val="204"/>
      <scheme val="minor"/>
    </font>
    <font>
      <sz val="14"/>
      <color theme="1"/>
      <name val="Calibri"/>
      <family val="2"/>
      <charset val="204"/>
      <scheme val="minor"/>
    </font>
    <font>
      <b/>
      <sz val="14"/>
      <color rgb="FF333333"/>
      <name val="Times New Roman"/>
      <family val="1"/>
      <charset val="204"/>
    </font>
    <font>
      <b/>
      <sz val="14"/>
      <color theme="1"/>
      <name val="Calibri"/>
      <family val="2"/>
      <charset val="204"/>
      <scheme val="minor"/>
    </font>
  </fonts>
  <fills count="6">
    <fill>
      <patternFill patternType="none"/>
    </fill>
    <fill>
      <patternFill patternType="gray125"/>
    </fill>
    <fill>
      <patternFill patternType="solid">
        <fgColor indexed="41"/>
        <bgColor indexed="64"/>
      </patternFill>
    </fill>
    <fill>
      <patternFill patternType="solid">
        <fgColor indexed="42"/>
        <bgColor indexed="64"/>
      </patternFill>
    </fill>
    <fill>
      <patternFill patternType="solid">
        <fgColor rgb="FFFFFF00"/>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5">
    <xf numFmtId="0" fontId="0" fillId="0" borderId="0"/>
    <xf numFmtId="0" fontId="1" fillId="0" borderId="0"/>
    <xf numFmtId="0" fontId="3" fillId="0" borderId="0"/>
    <xf numFmtId="0" fontId="8" fillId="0" borderId="0"/>
    <xf numFmtId="0" fontId="21" fillId="0" borderId="0" applyNumberFormat="0" applyFill="0" applyBorder="0" applyAlignment="0" applyProtection="0"/>
  </cellStyleXfs>
  <cellXfs count="261">
    <xf numFmtId="0" fontId="0" fillId="0" borderId="0" xfId="0"/>
    <xf numFmtId="4" fontId="0" fillId="0" borderId="1" xfId="0" applyNumberFormat="1" applyBorder="1" applyAlignment="1">
      <alignment vertical="center"/>
    </xf>
    <xf numFmtId="0" fontId="0" fillId="0" borderId="1" xfId="0" quotePrefix="1" applyBorder="1" applyAlignment="1">
      <alignment horizontal="center" vertical="center" wrapText="1"/>
    </xf>
    <xf numFmtId="4" fontId="0" fillId="0" borderId="1" xfId="0" quotePrefix="1" applyNumberFormat="1" applyBorder="1" applyAlignment="1">
      <alignment horizontal="center" vertical="center" wrapText="1"/>
    </xf>
    <xf numFmtId="4" fontId="0" fillId="0" borderId="1" xfId="0" quotePrefix="1" applyNumberFormat="1" applyBorder="1" applyAlignment="1">
      <alignment vertical="center" wrapText="1"/>
    </xf>
    <xf numFmtId="4" fontId="0" fillId="2" borderId="1" xfId="0" applyNumberFormat="1" applyFill="1" applyBorder="1" applyAlignment="1">
      <alignment vertical="center" wrapText="1"/>
    </xf>
    <xf numFmtId="4" fontId="0" fillId="0" borderId="1" xfId="0" applyNumberFormat="1" applyBorder="1" applyAlignment="1">
      <alignment vertical="center" wrapText="1"/>
    </xf>
    <xf numFmtId="0" fontId="4" fillId="0" borderId="0" xfId="0" applyFont="1"/>
    <xf numFmtId="0" fontId="4" fillId="0" borderId="0" xfId="0" applyFont="1" applyAlignment="1">
      <alignment horizontal="right"/>
    </xf>
    <xf numFmtId="0" fontId="4" fillId="0" borderId="1" xfId="0" applyFont="1" applyBorder="1" applyAlignment="1">
      <alignment horizontal="center" vertical="center" wrapText="1"/>
    </xf>
    <xf numFmtId="0" fontId="4" fillId="2" borderId="1" xfId="0" applyFont="1" applyFill="1" applyBorder="1" applyAlignment="1">
      <alignment horizontal="center" vertical="center" wrapText="1"/>
    </xf>
    <xf numFmtId="0" fontId="5" fillId="0" borderId="1" xfId="0" applyFont="1" applyBorder="1" applyAlignment="1">
      <alignment vertical="center"/>
    </xf>
    <xf numFmtId="0" fontId="5" fillId="0" borderId="1" xfId="0" applyFont="1" applyBorder="1" applyAlignment="1">
      <alignment vertical="center" wrapText="1"/>
    </xf>
    <xf numFmtId="4" fontId="5" fillId="2" borderId="1" xfId="0" applyNumberFormat="1" applyFont="1" applyFill="1" applyBorder="1" applyAlignment="1">
      <alignment vertical="center"/>
    </xf>
    <xf numFmtId="4" fontId="5" fillId="0" borderId="1" xfId="0" applyNumberFormat="1" applyFont="1" applyBorder="1" applyAlignment="1">
      <alignment vertical="center"/>
    </xf>
    <xf numFmtId="0" fontId="4" fillId="0" borderId="1" xfId="0" applyFont="1" applyBorder="1" applyAlignment="1">
      <alignment vertical="center"/>
    </xf>
    <xf numFmtId="0" fontId="4" fillId="0" borderId="1" xfId="0" applyFont="1" applyBorder="1" applyAlignment="1">
      <alignment vertical="center" wrapText="1"/>
    </xf>
    <xf numFmtId="4" fontId="4" fillId="2" borderId="1" xfId="0" applyNumberFormat="1" applyFont="1" applyFill="1" applyBorder="1" applyAlignment="1">
      <alignment vertical="center"/>
    </xf>
    <xf numFmtId="4" fontId="4" fillId="0" borderId="1" xfId="0" applyNumberFormat="1" applyFont="1" applyBorder="1" applyAlignment="1">
      <alignment vertical="center"/>
    </xf>
    <xf numFmtId="0" fontId="4" fillId="0" borderId="1" xfId="0" applyFont="1" applyBorder="1" applyAlignment="1">
      <alignment horizontal="right" vertical="center"/>
    </xf>
    <xf numFmtId="0" fontId="5" fillId="2" borderId="1" xfId="0" applyFont="1" applyFill="1" applyBorder="1" applyAlignment="1">
      <alignment vertical="center"/>
    </xf>
    <xf numFmtId="0" fontId="5" fillId="2" borderId="1" xfId="0" applyFont="1" applyFill="1" applyBorder="1" applyAlignment="1">
      <alignment vertical="center" wrapText="1"/>
    </xf>
    <xf numFmtId="4" fontId="5" fillId="0" borderId="1" xfId="0" applyNumberFormat="1" applyFont="1" applyFill="1" applyBorder="1" applyAlignment="1">
      <alignment vertical="center"/>
    </xf>
    <xf numFmtId="4" fontId="4" fillId="0" borderId="1" xfId="0" applyNumberFormat="1" applyFont="1" applyFill="1" applyBorder="1" applyAlignment="1">
      <alignment vertical="center"/>
    </xf>
    <xf numFmtId="0" fontId="5" fillId="2" borderId="1" xfId="0" applyFont="1" applyFill="1" applyBorder="1" applyAlignment="1">
      <alignment horizontal="center" vertical="center"/>
    </xf>
    <xf numFmtId="0" fontId="5" fillId="0" borderId="0" xfId="0" applyFont="1"/>
    <xf numFmtId="0" fontId="5" fillId="0" borderId="0" xfId="0" applyFont="1" applyAlignment="1">
      <alignment horizontal="left"/>
    </xf>
    <xf numFmtId="0" fontId="4" fillId="0" borderId="2" xfId="0" quotePrefix="1" applyFont="1" applyBorder="1" applyAlignment="1">
      <alignment horizontal="center"/>
    </xf>
    <xf numFmtId="0" fontId="4" fillId="0" borderId="0" xfId="0" applyFont="1" applyAlignment="1">
      <alignment horizontal="center"/>
    </xf>
    <xf numFmtId="0" fontId="4" fillId="0" borderId="1" xfId="0" quotePrefix="1" applyFont="1" applyBorder="1" applyAlignment="1">
      <alignment horizontal="center" vertical="center" wrapText="1"/>
    </xf>
    <xf numFmtId="4" fontId="4" fillId="0" borderId="1" xfId="0" quotePrefix="1" applyNumberFormat="1" applyFont="1" applyBorder="1" applyAlignment="1">
      <alignment horizontal="center" vertical="center" wrapText="1"/>
    </xf>
    <xf numFmtId="4" fontId="4" fillId="0" borderId="1" xfId="0" quotePrefix="1" applyNumberFormat="1" applyFont="1" applyBorder="1" applyAlignment="1">
      <alignment vertical="center" wrapText="1"/>
    </xf>
    <xf numFmtId="4" fontId="4" fillId="2" borderId="1" xfId="0" applyNumberFormat="1" applyFont="1" applyFill="1" applyBorder="1" applyAlignment="1">
      <alignment vertical="center" wrapText="1"/>
    </xf>
    <xf numFmtId="4" fontId="4" fillId="0" borderId="1" xfId="0" applyNumberFormat="1" applyFont="1" applyBorder="1" applyAlignment="1">
      <alignment vertical="center" wrapText="1"/>
    </xf>
    <xf numFmtId="0" fontId="5" fillId="0" borderId="1" xfId="0" quotePrefix="1" applyFont="1" applyBorder="1" applyAlignment="1">
      <alignment horizontal="center" vertical="center" wrapText="1"/>
    </xf>
    <xf numFmtId="0" fontId="5" fillId="0" borderId="1" xfId="0" applyFont="1" applyBorder="1" applyAlignment="1">
      <alignment horizontal="center" vertical="center" wrapText="1"/>
    </xf>
    <xf numFmtId="4" fontId="5" fillId="0" borderId="1" xfId="0" applyNumberFormat="1" applyFont="1" applyBorder="1" applyAlignment="1">
      <alignment horizontal="center" vertical="center" wrapText="1"/>
    </xf>
    <xf numFmtId="4" fontId="5" fillId="0" borderId="1" xfId="0" quotePrefix="1" applyNumberFormat="1" applyFont="1" applyBorder="1" applyAlignment="1">
      <alignment vertical="center" wrapText="1"/>
    </xf>
    <xf numFmtId="4" fontId="5" fillId="2" borderId="1" xfId="0" applyNumberFormat="1" applyFont="1" applyFill="1" applyBorder="1" applyAlignment="1">
      <alignment vertical="center" wrapText="1"/>
    </xf>
    <xf numFmtId="4" fontId="5" fillId="0" borderId="1" xfId="0" applyNumberFormat="1" applyFont="1" applyBorder="1" applyAlignment="1">
      <alignment vertical="center" wrapText="1"/>
    </xf>
    <xf numFmtId="0" fontId="5" fillId="2" borderId="1" xfId="0" applyFont="1" applyFill="1" applyBorder="1" applyAlignment="1">
      <alignment horizontal="center" vertical="center" wrapText="1"/>
    </xf>
    <xf numFmtId="0" fontId="5" fillId="2" borderId="1" xfId="0" quotePrefix="1" applyFont="1" applyFill="1" applyBorder="1" applyAlignment="1">
      <alignment horizontal="center" vertical="center" wrapText="1"/>
    </xf>
    <xf numFmtId="4" fontId="5" fillId="2" borderId="1" xfId="0" applyNumberFormat="1" applyFont="1" applyFill="1" applyBorder="1" applyAlignment="1">
      <alignment horizontal="center" vertical="center" wrapText="1"/>
    </xf>
    <xf numFmtId="4" fontId="5" fillId="2" borderId="1" xfId="0" quotePrefix="1" applyNumberFormat="1" applyFont="1" applyFill="1" applyBorder="1" applyAlignment="1">
      <alignment vertical="center" wrapText="1"/>
    </xf>
    <xf numFmtId="0" fontId="4" fillId="0" borderId="0" xfId="0" applyFont="1" applyAlignment="1"/>
    <xf numFmtId="0" fontId="4" fillId="0" borderId="0" xfId="0" applyFont="1" applyAlignment="1">
      <alignment horizontal="left"/>
    </xf>
    <xf numFmtId="0" fontId="4" fillId="0" borderId="3" xfId="0" applyFont="1" applyBorder="1" applyAlignment="1">
      <alignment horizontal="center" vertical="top" wrapText="1"/>
    </xf>
    <xf numFmtId="0" fontId="4" fillId="0" borderId="5" xfId="0" applyFont="1" applyBorder="1" applyAlignment="1">
      <alignment horizontal="center" vertical="top" wrapText="1"/>
    </xf>
    <xf numFmtId="0" fontId="4" fillId="0" borderId="6" xfId="0" applyFont="1" applyBorder="1" applyAlignment="1">
      <alignment horizontal="center" vertical="top" wrapText="1"/>
    </xf>
    <xf numFmtId="0" fontId="4" fillId="0" borderId="7" xfId="0" applyFont="1" applyBorder="1" applyAlignment="1">
      <alignment horizontal="center" vertical="top" wrapText="1"/>
    </xf>
    <xf numFmtId="0" fontId="7" fillId="0" borderId="6" xfId="0" applyFont="1" applyBorder="1" applyAlignment="1">
      <alignment horizontal="center" vertical="center"/>
    </xf>
    <xf numFmtId="164" fontId="7" fillId="0" borderId="7" xfId="0" applyNumberFormat="1" applyFont="1" applyBorder="1" applyAlignment="1">
      <alignment horizontal="center" vertical="center"/>
    </xf>
    <xf numFmtId="0" fontId="7" fillId="0" borderId="0" xfId="0" applyFont="1"/>
    <xf numFmtId="0" fontId="5" fillId="3" borderId="3" xfId="0" applyFont="1" applyFill="1" applyBorder="1" applyAlignment="1">
      <alignment horizontal="center"/>
    </xf>
    <xf numFmtId="0" fontId="5" fillId="3" borderId="3" xfId="0" applyFont="1" applyFill="1" applyBorder="1" applyAlignment="1">
      <alignment horizontal="left" vertical="center"/>
    </xf>
    <xf numFmtId="0" fontId="5" fillId="3" borderId="5" xfId="0" applyFont="1" applyFill="1" applyBorder="1" applyAlignment="1">
      <alignment horizontal="centerContinuous" vertical="center"/>
    </xf>
    <xf numFmtId="164" fontId="5" fillId="3" borderId="5" xfId="0" applyNumberFormat="1" applyFont="1" applyFill="1" applyBorder="1" applyAlignment="1">
      <alignment horizontal="center"/>
    </xf>
    <xf numFmtId="0" fontId="4" fillId="0" borderId="1" xfId="0" applyFont="1" applyBorder="1" applyAlignment="1">
      <alignment horizontal="center" vertical="top" wrapText="1"/>
    </xf>
    <xf numFmtId="0" fontId="4" fillId="0" borderId="8" xfId="0" applyFont="1" applyBorder="1" applyAlignment="1">
      <alignment horizontal="center" vertical="top" wrapText="1"/>
    </xf>
    <xf numFmtId="0" fontId="5" fillId="0" borderId="1" xfId="0" applyFont="1" applyBorder="1" applyAlignment="1">
      <alignment horizontal="centerContinuous" vertical="center"/>
    </xf>
    <xf numFmtId="0" fontId="5" fillId="0" borderId="1" xfId="0" applyFont="1" applyBorder="1" applyAlignment="1">
      <alignment horizontal="centerContinuous" vertical="center" wrapText="1"/>
    </xf>
    <xf numFmtId="164" fontId="5" fillId="2" borderId="1" xfId="0" applyNumberFormat="1" applyFont="1" applyFill="1" applyBorder="1" applyAlignment="1">
      <alignment horizontal="center" vertical="center"/>
    </xf>
    <xf numFmtId="0" fontId="4" fillId="0" borderId="1" xfId="0" applyFont="1" applyBorder="1" applyAlignment="1">
      <alignment horizontal="centerContinuous" vertical="center"/>
    </xf>
    <xf numFmtId="0" fontId="4" fillId="0" borderId="1" xfId="0" applyFont="1" applyBorder="1" applyAlignment="1">
      <alignment horizontal="centerContinuous" vertical="center" wrapText="1"/>
    </xf>
    <xf numFmtId="164" fontId="4" fillId="0" borderId="1" xfId="0" applyNumberFormat="1" applyFont="1" applyBorder="1" applyAlignment="1">
      <alignment horizontal="center" vertical="center"/>
    </xf>
    <xf numFmtId="0" fontId="4" fillId="0" borderId="1" xfId="0" applyFont="1" applyBorder="1" applyAlignment="1">
      <alignment horizontal="left" vertical="center" wrapText="1"/>
    </xf>
    <xf numFmtId="0" fontId="5" fillId="0" borderId="1" xfId="0" applyFont="1" applyBorder="1" applyAlignment="1">
      <alignment horizontal="center" vertical="center"/>
    </xf>
    <xf numFmtId="0" fontId="5" fillId="0" borderId="3" xfId="0" applyFont="1" applyBorder="1" applyAlignment="1">
      <alignment horizontal="center" vertical="center" wrapText="1"/>
    </xf>
    <xf numFmtId="0" fontId="5" fillId="3" borderId="1" xfId="0" applyFont="1" applyFill="1" applyBorder="1" applyAlignment="1">
      <alignment horizontal="center" vertical="center"/>
    </xf>
    <xf numFmtId="164" fontId="5" fillId="3" borderId="1" xfId="0" applyNumberFormat="1" applyFont="1" applyFill="1" applyBorder="1" applyAlignment="1">
      <alignment horizontal="center"/>
    </xf>
    <xf numFmtId="0" fontId="4" fillId="0" borderId="0" xfId="0" applyFont="1" applyFill="1"/>
    <xf numFmtId="0" fontId="6" fillId="0" borderId="0" xfId="0" quotePrefix="1" applyFont="1" applyFill="1" applyAlignment="1">
      <alignment horizontal="center"/>
    </xf>
    <xf numFmtId="0" fontId="4" fillId="0" borderId="0" xfId="0" applyFont="1" applyFill="1" applyAlignment="1">
      <alignment horizontal="right"/>
    </xf>
    <xf numFmtId="0" fontId="5" fillId="0" borderId="1" xfId="0" applyFont="1" applyFill="1" applyBorder="1" applyAlignment="1">
      <alignment vertical="center" wrapText="1"/>
    </xf>
    <xf numFmtId="0" fontId="5" fillId="0" borderId="1" xfId="0" quotePrefix="1" applyFont="1" applyFill="1" applyBorder="1" applyAlignment="1">
      <alignment vertical="center" wrapText="1"/>
    </xf>
    <xf numFmtId="164" fontId="5" fillId="0" borderId="1" xfId="0" applyNumberFormat="1" applyFont="1" applyFill="1" applyBorder="1" applyAlignment="1">
      <alignment horizontal="right" vertical="center"/>
    </xf>
    <xf numFmtId="0" fontId="4" fillId="0" borderId="1" xfId="0" applyFont="1" applyFill="1" applyBorder="1" applyAlignment="1">
      <alignment vertical="center" wrapText="1"/>
    </xf>
    <xf numFmtId="0" fontId="4" fillId="0" borderId="1" xfId="0" quotePrefix="1" applyFont="1" applyFill="1" applyBorder="1" applyAlignment="1">
      <alignment vertical="center" wrapText="1"/>
    </xf>
    <xf numFmtId="164" fontId="4" fillId="0" borderId="1" xfId="0" applyNumberFormat="1" applyFont="1" applyFill="1" applyBorder="1" applyAlignment="1">
      <alignment horizontal="right" vertical="center"/>
    </xf>
    <xf numFmtId="0" fontId="4" fillId="0" borderId="1"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5" fillId="0" borderId="0" xfId="0" applyFont="1" applyFill="1" applyAlignment="1">
      <alignment horizontal="left"/>
    </xf>
    <xf numFmtId="0" fontId="4" fillId="0" borderId="1" xfId="0" applyFont="1" applyFill="1" applyBorder="1" applyAlignment="1">
      <alignment horizontal="center" vertical="center"/>
    </xf>
    <xf numFmtId="0" fontId="4" fillId="0" borderId="0" xfId="0" applyFont="1" applyAlignment="1">
      <alignment horizontal="center"/>
    </xf>
    <xf numFmtId="0" fontId="4" fillId="0" borderId="1" xfId="0" applyFont="1" applyBorder="1" applyAlignment="1">
      <alignment horizontal="center" vertical="center" wrapText="1"/>
    </xf>
    <xf numFmtId="0" fontId="4" fillId="2"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6" fillId="0" borderId="0" xfId="0" quotePrefix="1" applyFont="1" applyAlignment="1">
      <alignment horizontal="center"/>
    </xf>
    <xf numFmtId="0" fontId="0" fillId="4" borderId="0" xfId="0" applyFill="1"/>
    <xf numFmtId="0" fontId="4" fillId="0" borderId="1" xfId="0" quotePrefix="1" applyFont="1" applyFill="1" applyBorder="1" applyAlignment="1">
      <alignment horizontal="center" vertical="center" wrapText="1"/>
    </xf>
    <xf numFmtId="4" fontId="4" fillId="0" borderId="1" xfId="0" quotePrefix="1" applyNumberFormat="1" applyFont="1" applyFill="1" applyBorder="1" applyAlignment="1">
      <alignment horizontal="center" vertical="center" wrapText="1"/>
    </xf>
    <xf numFmtId="4" fontId="4" fillId="0" borderId="1" xfId="0" quotePrefix="1" applyNumberFormat="1" applyFont="1" applyFill="1" applyBorder="1" applyAlignment="1">
      <alignment vertical="center" wrapText="1"/>
    </xf>
    <xf numFmtId="4" fontId="4" fillId="0" borderId="1" xfId="0" applyNumberFormat="1" applyFont="1" applyFill="1" applyBorder="1" applyAlignment="1">
      <alignment vertical="center" wrapText="1"/>
    </xf>
    <xf numFmtId="0" fontId="0" fillId="0" borderId="0" xfId="0" applyFill="1"/>
    <xf numFmtId="49" fontId="9" fillId="0" borderId="1" xfId="3" applyNumberFormat="1" applyFont="1" applyFill="1" applyBorder="1" applyAlignment="1">
      <alignment horizontal="center" wrapText="1"/>
    </xf>
    <xf numFmtId="0" fontId="9" fillId="0" borderId="1" xfId="3" applyFont="1" applyFill="1" applyBorder="1" applyAlignment="1">
      <alignment horizontal="center" wrapText="1"/>
    </xf>
    <xf numFmtId="0" fontId="9" fillId="0" borderId="1" xfId="3" applyFont="1" applyFill="1" applyBorder="1" applyAlignment="1">
      <alignment horizontal="left" wrapText="1"/>
    </xf>
    <xf numFmtId="4" fontId="9" fillId="0" borderId="1" xfId="3" applyNumberFormat="1" applyFont="1" applyFill="1" applyBorder="1" applyAlignment="1">
      <alignment horizontal="center" vertical="center" wrapText="1"/>
    </xf>
    <xf numFmtId="0" fontId="9" fillId="0" borderId="0" xfId="3" applyFont="1" applyFill="1" applyAlignment="1">
      <alignment horizontal="center"/>
    </xf>
    <xf numFmtId="49" fontId="10" fillId="0" borderId="1" xfId="3" applyNumberFormat="1" applyFont="1" applyFill="1" applyBorder="1" applyAlignment="1">
      <alignment horizontal="center" wrapText="1"/>
    </xf>
    <xf numFmtId="0" fontId="10" fillId="0" borderId="1" xfId="3" applyFont="1" applyFill="1" applyBorder="1" applyAlignment="1">
      <alignment horizontal="center" wrapText="1"/>
    </xf>
    <xf numFmtId="0" fontId="10" fillId="0" borderId="1" xfId="3" applyFont="1" applyFill="1" applyBorder="1" applyAlignment="1">
      <alignment horizontal="left" wrapText="1"/>
    </xf>
    <xf numFmtId="4" fontId="10" fillId="0" borderId="1" xfId="3" applyNumberFormat="1" applyFont="1" applyFill="1" applyBorder="1" applyAlignment="1">
      <alignment horizontal="center" vertical="center" wrapText="1"/>
    </xf>
    <xf numFmtId="0" fontId="10" fillId="0" borderId="0" xfId="3" applyFont="1" applyFill="1" applyAlignment="1">
      <alignment horizontal="center"/>
    </xf>
    <xf numFmtId="49" fontId="11" fillId="0" borderId="1" xfId="3" applyNumberFormat="1" applyFont="1" applyFill="1" applyBorder="1" applyAlignment="1">
      <alignment horizontal="center" wrapText="1"/>
    </xf>
    <xf numFmtId="0" fontId="11" fillId="0" borderId="1" xfId="3" applyFont="1" applyFill="1" applyBorder="1" applyAlignment="1">
      <alignment horizontal="center" wrapText="1"/>
    </xf>
    <xf numFmtId="0" fontId="11" fillId="0" borderId="1" xfId="3" applyFont="1" applyFill="1" applyBorder="1" applyAlignment="1">
      <alignment horizontal="left" wrapText="1"/>
    </xf>
    <xf numFmtId="4" fontId="11" fillId="0" borderId="1" xfId="3" applyNumberFormat="1" applyFont="1" applyFill="1" applyBorder="1" applyAlignment="1">
      <alignment horizontal="center" vertical="center" wrapText="1"/>
    </xf>
    <xf numFmtId="0" fontId="11" fillId="0" borderId="0" xfId="3" applyFont="1" applyFill="1" applyAlignment="1">
      <alignment horizontal="center"/>
    </xf>
    <xf numFmtId="49" fontId="12" fillId="0" borderId="1" xfId="3" applyNumberFormat="1" applyFont="1" applyFill="1" applyBorder="1" applyAlignment="1">
      <alignment horizontal="center" wrapText="1"/>
    </xf>
    <xf numFmtId="0" fontId="12" fillId="0" borderId="1" xfId="3" applyFont="1" applyFill="1" applyBorder="1" applyAlignment="1">
      <alignment horizontal="center" wrapText="1"/>
    </xf>
    <xf numFmtId="0" fontId="12" fillId="0" borderId="1" xfId="3" applyFont="1" applyFill="1" applyBorder="1" applyAlignment="1">
      <alignment horizontal="left" wrapText="1"/>
    </xf>
    <xf numFmtId="4" fontId="12" fillId="0" borderId="1" xfId="3" applyNumberFormat="1" applyFont="1" applyFill="1" applyBorder="1" applyAlignment="1">
      <alignment horizontal="center" vertical="center" wrapText="1"/>
    </xf>
    <xf numFmtId="0" fontId="12" fillId="0" borderId="0" xfId="3" applyFont="1" applyFill="1" applyAlignment="1">
      <alignment horizontal="center"/>
    </xf>
    <xf numFmtId="0" fontId="13" fillId="0" borderId="0" xfId="3" applyFont="1" applyFill="1" applyAlignment="1">
      <alignment horizontal="center"/>
    </xf>
    <xf numFmtId="0" fontId="11" fillId="0" borderId="4" xfId="3" applyFont="1" applyFill="1" applyBorder="1" applyAlignment="1">
      <alignment horizontal="center" wrapText="1"/>
    </xf>
    <xf numFmtId="4" fontId="14" fillId="0" borderId="1" xfId="3" applyNumberFormat="1" applyFont="1" applyFill="1" applyBorder="1" applyAlignment="1">
      <alignment horizontal="center" vertical="center" wrapText="1"/>
    </xf>
    <xf numFmtId="0" fontId="5" fillId="0" borderId="3" xfId="0" applyFont="1" applyFill="1" applyBorder="1" applyAlignment="1">
      <alignment horizontal="center" vertical="center"/>
    </xf>
    <xf numFmtId="0" fontId="5" fillId="0" borderId="3" xfId="0" applyFont="1" applyFill="1" applyBorder="1" applyAlignment="1">
      <alignment horizontal="centerContinuous" vertical="center" wrapText="1"/>
    </xf>
    <xf numFmtId="0" fontId="5" fillId="0" borderId="5" xfId="0" applyFont="1" applyFill="1" applyBorder="1" applyAlignment="1">
      <alignment horizontal="centerContinuous" vertical="center"/>
    </xf>
    <xf numFmtId="164" fontId="5" fillId="0" borderId="5" xfId="0" applyNumberFormat="1" applyFont="1" applyFill="1" applyBorder="1" applyAlignment="1">
      <alignment horizontal="center" vertical="center"/>
    </xf>
    <xf numFmtId="0" fontId="4" fillId="0" borderId="3" xfId="0" applyFont="1" applyFill="1" applyBorder="1" applyAlignment="1">
      <alignment horizontal="center" vertical="center"/>
    </xf>
    <xf numFmtId="0" fontId="4" fillId="0" borderId="3" xfId="0" applyFont="1" applyFill="1" applyBorder="1" applyAlignment="1">
      <alignment horizontal="centerContinuous" vertical="center" wrapText="1"/>
    </xf>
    <xf numFmtId="0" fontId="4" fillId="0" borderId="5" xfId="0" applyFont="1" applyFill="1" applyBorder="1" applyAlignment="1">
      <alignment horizontal="centerContinuous" vertical="center"/>
    </xf>
    <xf numFmtId="164" fontId="4" fillId="0" borderId="5" xfId="0" applyNumberFormat="1" applyFont="1" applyFill="1" applyBorder="1" applyAlignment="1">
      <alignment horizontal="center" vertical="center"/>
    </xf>
    <xf numFmtId="0" fontId="5" fillId="0" borderId="5" xfId="0" applyFont="1" applyFill="1" applyBorder="1" applyAlignment="1">
      <alignment horizontal="centerContinuous" vertical="center" wrapText="1"/>
    </xf>
    <xf numFmtId="0" fontId="4" fillId="0" borderId="6" xfId="0" applyFont="1" applyFill="1" applyBorder="1" applyAlignment="1">
      <alignment horizontal="centerContinuous" vertical="center" wrapText="1"/>
    </xf>
    <xf numFmtId="0" fontId="4" fillId="0" borderId="7" xfId="0" applyFont="1" applyFill="1" applyBorder="1" applyAlignment="1">
      <alignment horizontal="centerContinuous" vertical="center"/>
    </xf>
    <xf numFmtId="164" fontId="4" fillId="0" borderId="7" xfId="0" applyNumberFormat="1" applyFont="1" applyFill="1" applyBorder="1" applyAlignment="1">
      <alignment horizontal="center" vertical="center"/>
    </xf>
    <xf numFmtId="0" fontId="7" fillId="0" borderId="6" xfId="0" applyFont="1" applyFill="1" applyBorder="1" applyAlignment="1">
      <alignment horizontal="center" vertical="center"/>
    </xf>
    <xf numFmtId="164" fontId="7" fillId="0" borderId="7" xfId="0" applyNumberFormat="1" applyFont="1" applyFill="1" applyBorder="1" applyAlignment="1">
      <alignment horizontal="center" vertical="center"/>
    </xf>
    <xf numFmtId="0" fontId="2" fillId="0" borderId="1" xfId="0" applyFont="1" applyFill="1" applyBorder="1" applyAlignment="1">
      <alignment vertical="center" wrapText="1"/>
    </xf>
    <xf numFmtId="0" fontId="2" fillId="0" borderId="1" xfId="0" quotePrefix="1" applyFont="1" applyFill="1" applyBorder="1" applyAlignment="1">
      <alignment vertical="center" wrapText="1"/>
    </xf>
    <xf numFmtId="164" fontId="2" fillId="0" borderId="1" xfId="0" applyNumberFormat="1" applyFont="1" applyFill="1" applyBorder="1" applyAlignment="1">
      <alignment horizontal="right" vertical="center"/>
    </xf>
    <xf numFmtId="0" fontId="0" fillId="0" borderId="1" xfId="0" applyFill="1" applyBorder="1" applyAlignment="1">
      <alignment vertical="center" wrapText="1"/>
    </xf>
    <xf numFmtId="0" fontId="0" fillId="0" borderId="1" xfId="0" quotePrefix="1" applyFill="1" applyBorder="1" applyAlignment="1">
      <alignment vertical="center" wrapText="1"/>
    </xf>
    <xf numFmtId="164" fontId="0" fillId="0" borderId="1" xfId="0" applyNumberFormat="1" applyFill="1" applyBorder="1" applyAlignment="1">
      <alignment horizontal="right" vertical="center"/>
    </xf>
    <xf numFmtId="49" fontId="4" fillId="0" borderId="3" xfId="0" applyNumberFormat="1" applyFont="1" applyFill="1" applyBorder="1" applyAlignment="1">
      <alignment horizontal="center" vertical="center"/>
    </xf>
    <xf numFmtId="0" fontId="11" fillId="0" borderId="0" xfId="0" applyFont="1" applyAlignment="1">
      <alignment wrapText="1"/>
    </xf>
    <xf numFmtId="49" fontId="4" fillId="0" borderId="1" xfId="0" quotePrefix="1" applyNumberFormat="1" applyFont="1" applyBorder="1" applyAlignment="1">
      <alignment horizontal="center" vertical="center" wrapText="1"/>
    </xf>
    <xf numFmtId="1" fontId="11" fillId="0" borderId="1" xfId="0" applyNumberFormat="1" applyFont="1" applyFill="1" applyBorder="1" applyAlignment="1">
      <alignment horizontal="center" vertical="center" wrapText="1"/>
    </xf>
    <xf numFmtId="0" fontId="11" fillId="0" borderId="1" xfId="0" applyFont="1" applyFill="1" applyBorder="1" applyAlignment="1">
      <alignment wrapText="1"/>
    </xf>
    <xf numFmtId="0" fontId="4" fillId="5" borderId="0" xfId="0" applyFont="1" applyFill="1"/>
    <xf numFmtId="4" fontId="4" fillId="5" borderId="0" xfId="0" applyNumberFormat="1" applyFont="1" applyFill="1"/>
    <xf numFmtId="49" fontId="5" fillId="0" borderId="3" xfId="0" applyNumberFormat="1" applyFont="1" applyFill="1" applyBorder="1" applyAlignment="1">
      <alignment horizontal="center" vertical="center"/>
    </xf>
    <xf numFmtId="0" fontId="5" fillId="0" borderId="6" xfId="0" applyFont="1" applyFill="1" applyBorder="1" applyAlignment="1">
      <alignment horizontal="centerContinuous" vertical="center" wrapText="1"/>
    </xf>
    <xf numFmtId="0" fontId="5" fillId="0" borderId="7" xfId="0" applyFont="1" applyFill="1" applyBorder="1" applyAlignment="1">
      <alignment horizontal="centerContinuous" vertical="center"/>
    </xf>
    <xf numFmtId="0" fontId="5" fillId="0" borderId="1" xfId="0" applyFont="1" applyFill="1" applyBorder="1" applyAlignment="1">
      <alignment horizontal="left" vertical="center" wrapText="1"/>
    </xf>
    <xf numFmtId="165" fontId="16" fillId="0" borderId="1" xfId="0" applyNumberFormat="1" applyFont="1" applyFill="1" applyBorder="1" applyAlignment="1">
      <alignment horizontal="left" vertical="center"/>
    </xf>
    <xf numFmtId="166" fontId="11" fillId="0" borderId="1" xfId="0" applyNumberFormat="1" applyFont="1" applyFill="1" applyBorder="1" applyAlignment="1">
      <alignment horizontal="left" vertical="center" wrapText="1"/>
    </xf>
    <xf numFmtId="4" fontId="4" fillId="0" borderId="0" xfId="0" applyNumberFormat="1" applyFont="1"/>
    <xf numFmtId="49" fontId="4" fillId="0" borderId="1" xfId="0" applyNumberFormat="1" applyFont="1" applyFill="1" applyBorder="1" applyAlignment="1">
      <alignment vertical="center" wrapText="1"/>
    </xf>
    <xf numFmtId="1" fontId="11" fillId="0" borderId="1" xfId="0" applyNumberFormat="1" applyFont="1" applyFill="1" applyBorder="1" applyAlignment="1">
      <alignment horizontal="left" vertical="center" wrapText="1"/>
    </xf>
    <xf numFmtId="164" fontId="4" fillId="0" borderId="0" xfId="0" applyNumberFormat="1" applyFont="1" applyFill="1"/>
    <xf numFmtId="167" fontId="7" fillId="0" borderId="0" xfId="0" applyNumberFormat="1" applyFont="1"/>
    <xf numFmtId="49" fontId="4" fillId="0" borderId="1" xfId="0" quotePrefix="1" applyNumberFormat="1" applyFont="1" applyFill="1" applyBorder="1" applyAlignment="1">
      <alignment horizontal="center" vertical="center" wrapText="1"/>
    </xf>
    <xf numFmtId="0" fontId="19" fillId="0" borderId="0" xfId="0" applyFont="1" applyAlignment="1">
      <alignment wrapText="1"/>
    </xf>
    <xf numFmtId="0" fontId="20" fillId="0" borderId="1" xfId="0" applyFont="1" applyBorder="1" applyAlignment="1">
      <alignment wrapText="1"/>
    </xf>
    <xf numFmtId="0" fontId="7" fillId="0" borderId="1" xfId="0" applyFont="1" applyBorder="1" applyAlignment="1">
      <alignment horizontal="center" vertical="center"/>
    </xf>
    <xf numFmtId="164" fontId="7" fillId="0" borderId="1" xfId="0" applyNumberFormat="1" applyFont="1" applyBorder="1" applyAlignment="1">
      <alignment horizontal="center" vertical="center"/>
    </xf>
    <xf numFmtId="0" fontId="7" fillId="0" borderId="0" xfId="0" applyFont="1" applyAlignment="1"/>
    <xf numFmtId="164" fontId="5" fillId="0" borderId="1" xfId="0" applyNumberFormat="1" applyFont="1" applyBorder="1" applyAlignment="1">
      <alignment horizontal="center" vertical="center"/>
    </xf>
    <xf numFmtId="0" fontId="11" fillId="0" borderId="9" xfId="0" applyFont="1" applyBorder="1" applyAlignment="1">
      <alignment wrapText="1"/>
    </xf>
    <xf numFmtId="4" fontId="12" fillId="0" borderId="8" xfId="3" applyNumberFormat="1" applyFont="1" applyFill="1" applyBorder="1" applyAlignment="1">
      <alignment horizontal="center" vertical="center" wrapText="1"/>
    </xf>
    <xf numFmtId="0" fontId="11" fillId="0" borderId="1" xfId="4" applyFont="1" applyBorder="1" applyAlignment="1">
      <alignment wrapText="1"/>
    </xf>
    <xf numFmtId="164" fontId="5" fillId="0" borderId="7" xfId="0" applyNumberFormat="1" applyFont="1" applyFill="1" applyBorder="1" applyAlignment="1">
      <alignment horizontal="center" vertical="center"/>
    </xf>
    <xf numFmtId="4" fontId="4" fillId="0" borderId="0" xfId="0" applyNumberFormat="1" applyFont="1" applyFill="1" applyBorder="1" applyAlignment="1">
      <alignment vertical="center"/>
    </xf>
    <xf numFmtId="164" fontId="7" fillId="0" borderId="5" xfId="0" applyNumberFormat="1" applyFont="1" applyBorder="1" applyAlignment="1">
      <alignment horizontal="center" vertical="center"/>
    </xf>
    <xf numFmtId="49" fontId="7" fillId="0" borderId="1" xfId="0" applyNumberFormat="1" applyFont="1" applyFill="1" applyBorder="1" applyAlignment="1">
      <alignment horizontal="center" vertical="center"/>
    </xf>
    <xf numFmtId="0" fontId="7" fillId="0" borderId="8" xfId="0" applyFont="1" applyBorder="1" applyAlignment="1">
      <alignment horizontal="centerContinuous" vertical="center"/>
    </xf>
    <xf numFmtId="0" fontId="7" fillId="0" borderId="8" xfId="0" applyFont="1" applyBorder="1" applyAlignment="1">
      <alignment horizontal="centerContinuous" vertical="center" wrapText="1"/>
    </xf>
    <xf numFmtId="164" fontId="7" fillId="0" borderId="8" xfId="0" applyNumberFormat="1" applyFont="1" applyBorder="1" applyAlignment="1">
      <alignment horizontal="center" vertical="center"/>
    </xf>
    <xf numFmtId="0" fontId="7" fillId="0" borderId="1" xfId="0" applyFont="1" applyBorder="1" applyAlignment="1">
      <alignment horizontal="left" vertical="center" wrapText="1"/>
    </xf>
    <xf numFmtId="49" fontId="14" fillId="0" borderId="1" xfId="3" applyNumberFormat="1" applyFont="1" applyFill="1" applyBorder="1" applyAlignment="1">
      <alignment horizontal="center" wrapText="1"/>
    </xf>
    <xf numFmtId="0" fontId="14" fillId="0" borderId="1" xfId="3" applyFont="1" applyFill="1" applyBorder="1" applyAlignment="1">
      <alignment horizontal="center" wrapText="1"/>
    </xf>
    <xf numFmtId="0" fontId="14" fillId="0" borderId="1" xfId="3" applyFont="1" applyFill="1" applyBorder="1" applyAlignment="1">
      <alignment horizontal="left" wrapText="1"/>
    </xf>
    <xf numFmtId="167" fontId="4" fillId="0" borderId="0" xfId="0" applyNumberFormat="1" applyFont="1"/>
    <xf numFmtId="167" fontId="5" fillId="0" borderId="0" xfId="0" applyNumberFormat="1" applyFont="1" applyAlignment="1">
      <alignment horizontal="left"/>
    </xf>
    <xf numFmtId="0" fontId="4" fillId="0" borderId="0" xfId="0" applyFont="1" applyAlignment="1">
      <alignment wrapText="1"/>
    </xf>
    <xf numFmtId="0" fontId="4" fillId="0" borderId="1" xfId="0" applyFont="1" applyBorder="1" applyAlignment="1">
      <alignment wrapText="1"/>
    </xf>
    <xf numFmtId="0" fontId="11" fillId="0" borderId="1" xfId="0" applyFont="1" applyBorder="1" applyAlignment="1">
      <alignment wrapText="1"/>
    </xf>
    <xf numFmtId="0" fontId="7" fillId="0" borderId="8" xfId="0" applyFont="1" applyBorder="1" applyAlignment="1">
      <alignment horizontal="left" vertical="center" wrapText="1"/>
    </xf>
    <xf numFmtId="0" fontId="18" fillId="0" borderId="8" xfId="0" applyFont="1" applyBorder="1" applyAlignment="1">
      <alignment horizontal="centerContinuous" vertical="center"/>
    </xf>
    <xf numFmtId="0" fontId="18" fillId="0" borderId="8" xfId="0" applyFont="1" applyBorder="1" applyAlignment="1">
      <alignment horizontal="centerContinuous" vertical="center" wrapText="1"/>
    </xf>
    <xf numFmtId="164" fontId="18" fillId="0" borderId="8" xfId="0" applyNumberFormat="1" applyFont="1" applyBorder="1" applyAlignment="1">
      <alignment horizontal="center" vertical="center"/>
    </xf>
    <xf numFmtId="0" fontId="23" fillId="0" borderId="1" xfId="0" quotePrefix="1" applyFont="1" applyBorder="1" applyAlignment="1">
      <alignment horizontal="center" vertical="center" wrapText="1"/>
    </xf>
    <xf numFmtId="4" fontId="23" fillId="0" borderId="1" xfId="0" quotePrefix="1" applyNumberFormat="1" applyFont="1" applyBorder="1" applyAlignment="1">
      <alignment horizontal="center" vertical="center" wrapText="1"/>
    </xf>
    <xf numFmtId="4" fontId="23" fillId="0" borderId="1" xfId="0" quotePrefix="1" applyNumberFormat="1" applyFont="1" applyBorder="1" applyAlignment="1">
      <alignment vertical="center" wrapText="1"/>
    </xf>
    <xf numFmtId="4" fontId="23" fillId="2" borderId="1" xfId="0" applyNumberFormat="1" applyFont="1" applyFill="1" applyBorder="1" applyAlignment="1">
      <alignment vertical="center" wrapText="1"/>
    </xf>
    <xf numFmtId="4" fontId="23" fillId="0" borderId="1" xfId="0" applyNumberFormat="1" applyFont="1" applyBorder="1" applyAlignment="1">
      <alignment vertical="center" wrapText="1"/>
    </xf>
    <xf numFmtId="0" fontId="23" fillId="0" borderId="0" xfId="0" applyFont="1"/>
    <xf numFmtId="164" fontId="23" fillId="0" borderId="1" xfId="0" applyNumberFormat="1" applyFont="1" applyFill="1" applyBorder="1" applyAlignment="1">
      <alignment horizontal="right" vertical="center"/>
    </xf>
    <xf numFmtId="0" fontId="23" fillId="0" borderId="0" xfId="0" applyFont="1" applyFill="1"/>
    <xf numFmtId="167" fontId="4" fillId="0" borderId="0" xfId="0" applyNumberFormat="1" applyFont="1" applyFill="1"/>
    <xf numFmtId="0" fontId="11" fillId="0" borderId="1" xfId="3" applyFont="1" applyFill="1" applyBorder="1" applyAlignment="1">
      <alignment horizontal="left" vertical="center" wrapText="1"/>
    </xf>
    <xf numFmtId="0" fontId="15" fillId="0" borderId="0" xfId="0" applyFont="1" applyFill="1" applyAlignment="1">
      <alignment vertical="center" wrapText="1"/>
    </xf>
    <xf numFmtId="0" fontId="15" fillId="0" borderId="1" xfId="0" applyFont="1" applyBorder="1" applyAlignment="1">
      <alignment wrapText="1"/>
    </xf>
    <xf numFmtId="0" fontId="15" fillId="0" borderId="0" xfId="0" applyFont="1" applyAlignment="1">
      <alignment vertical="center" wrapText="1"/>
    </xf>
    <xf numFmtId="49" fontId="7" fillId="0" borderId="3" xfId="0" applyNumberFormat="1" applyFont="1" applyFill="1" applyBorder="1" applyAlignment="1">
      <alignment horizontal="center" vertical="center"/>
    </xf>
    <xf numFmtId="164" fontId="4" fillId="0" borderId="5" xfId="0" applyNumberFormat="1" applyFont="1" applyBorder="1" applyAlignment="1">
      <alignment horizontal="center" vertical="center"/>
    </xf>
    <xf numFmtId="164" fontId="5" fillId="0" borderId="5" xfId="0" applyNumberFormat="1" applyFont="1" applyBorder="1" applyAlignment="1">
      <alignment horizontal="center" vertical="center"/>
    </xf>
    <xf numFmtId="0" fontId="5" fillId="0" borderId="1" xfId="0" applyFont="1" applyBorder="1" applyAlignment="1">
      <alignment horizontal="center"/>
    </xf>
    <xf numFmtId="0" fontId="4" fillId="0" borderId="0" xfId="0" quotePrefix="1" applyFont="1" applyFill="1" applyBorder="1" applyAlignment="1">
      <alignment vertical="center" wrapText="1"/>
    </xf>
    <xf numFmtId="0" fontId="4" fillId="0" borderId="1" xfId="0" quotePrefix="1" applyFont="1" applyBorder="1" applyAlignment="1">
      <alignment horizontal="left" vertical="center" wrapText="1"/>
    </xf>
    <xf numFmtId="49" fontId="4" fillId="0" borderId="1" xfId="0" quotePrefix="1" applyNumberFormat="1" applyFont="1" applyBorder="1" applyAlignment="1">
      <alignment horizontal="left" vertical="center" wrapText="1"/>
    </xf>
    <xf numFmtId="4" fontId="4" fillId="0" borderId="1" xfId="0" quotePrefix="1" applyNumberFormat="1" applyFont="1" applyBorder="1" applyAlignment="1">
      <alignment horizontal="left" vertical="center" wrapText="1"/>
    </xf>
    <xf numFmtId="0" fontId="5" fillId="5" borderId="1" xfId="0" quotePrefix="1" applyFont="1" applyFill="1" applyBorder="1" applyAlignment="1">
      <alignment horizontal="center" vertical="center" wrapText="1"/>
    </xf>
    <xf numFmtId="0" fontId="5" fillId="5" borderId="1" xfId="0" applyFont="1" applyFill="1" applyBorder="1" applyAlignment="1">
      <alignment horizontal="center" vertical="center" wrapText="1"/>
    </xf>
    <xf numFmtId="4" fontId="5" fillId="5" borderId="1" xfId="0" applyNumberFormat="1" applyFont="1" applyFill="1" applyBorder="1" applyAlignment="1">
      <alignment horizontal="center" vertical="center" wrapText="1"/>
    </xf>
    <xf numFmtId="4" fontId="5" fillId="5" borderId="1" xfId="0" quotePrefix="1" applyNumberFormat="1" applyFont="1" applyFill="1" applyBorder="1" applyAlignment="1">
      <alignment vertical="center" wrapText="1"/>
    </xf>
    <xf numFmtId="4" fontId="5" fillId="5" borderId="1" xfId="0" applyNumberFormat="1" applyFont="1" applyFill="1" applyBorder="1" applyAlignment="1">
      <alignment vertical="center" wrapText="1"/>
    </xf>
    <xf numFmtId="49" fontId="4" fillId="0" borderId="1" xfId="0" applyNumberFormat="1" applyFont="1" applyFill="1" applyBorder="1" applyAlignment="1">
      <alignment horizontal="left" vertical="center" wrapText="1"/>
    </xf>
    <xf numFmtId="49" fontId="5" fillId="0" borderId="1" xfId="0" applyNumberFormat="1" applyFont="1" applyFill="1" applyBorder="1" applyAlignment="1">
      <alignment horizontal="left" vertical="center" wrapText="1"/>
    </xf>
    <xf numFmtId="0" fontId="7" fillId="0" borderId="8" xfId="0" applyFont="1" applyBorder="1" applyAlignment="1">
      <alignment horizontal="left" vertical="top" wrapText="1"/>
    </xf>
    <xf numFmtId="0" fontId="11" fillId="0" borderId="1" xfId="0" applyFont="1" applyBorder="1" applyAlignment="1">
      <alignment horizontal="left" vertical="center" wrapText="1"/>
    </xf>
    <xf numFmtId="0" fontId="16" fillId="0" borderId="1" xfId="0" applyFont="1" applyBorder="1" applyAlignment="1">
      <alignment horizontal="center" vertical="center" wrapText="1"/>
    </xf>
    <xf numFmtId="0" fontId="16" fillId="0" borderId="1" xfId="0" applyFont="1" applyBorder="1" applyAlignment="1">
      <alignment horizontal="left" vertical="center" wrapText="1"/>
    </xf>
    <xf numFmtId="0" fontId="5" fillId="0" borderId="0" xfId="0" applyFont="1" applyAlignment="1">
      <alignment horizontal="center"/>
    </xf>
    <xf numFmtId="0" fontId="4" fillId="0" borderId="0" xfId="0" applyFont="1" applyAlignment="1">
      <alignment horizontal="center"/>
    </xf>
    <xf numFmtId="0" fontId="4" fillId="0" borderId="1" xfId="0" applyFont="1" applyBorder="1" applyAlignment="1">
      <alignment horizontal="center" vertical="center" wrapText="1"/>
    </xf>
    <xf numFmtId="0" fontId="4" fillId="2" borderId="1" xfId="0" applyFont="1" applyFill="1" applyBorder="1" applyAlignment="1">
      <alignment horizontal="center" vertical="center" wrapText="1"/>
    </xf>
    <xf numFmtId="0" fontId="5" fillId="0" borderId="3" xfId="0" applyFont="1" applyBorder="1" applyAlignment="1">
      <alignment horizontal="center" vertical="center"/>
    </xf>
    <xf numFmtId="0" fontId="4" fillId="0" borderId="4" xfId="0" applyFont="1" applyBorder="1" applyAlignment="1"/>
    <xf numFmtId="0" fontId="4" fillId="0" borderId="5" xfId="0" applyFont="1" applyBorder="1" applyAlignment="1"/>
    <xf numFmtId="0" fontId="5" fillId="0" borderId="0" xfId="0" applyFont="1" applyAlignment="1">
      <alignment horizontal="center" wrapText="1"/>
    </xf>
    <xf numFmtId="0" fontId="5" fillId="0" borderId="8" xfId="0" applyFont="1" applyFill="1" applyBorder="1" applyAlignment="1">
      <alignment horizontal="center"/>
    </xf>
    <xf numFmtId="0" fontId="5" fillId="0" borderId="3" xfId="0" applyFont="1" applyFill="1" applyBorder="1" applyAlignment="1">
      <alignment horizontal="center" vertical="center" wrapText="1"/>
    </xf>
    <xf numFmtId="0" fontId="2" fillId="0" borderId="5" xfId="0" applyFont="1" applyBorder="1" applyAlignment="1">
      <alignment vertical="center"/>
    </xf>
    <xf numFmtId="0" fontId="6" fillId="0" borderId="0" xfId="0" quotePrefix="1" applyFont="1" applyAlignment="1">
      <alignment horizontal="center"/>
    </xf>
    <xf numFmtId="0" fontId="4" fillId="0" borderId="3" xfId="0" applyFont="1" applyBorder="1" applyAlignment="1">
      <alignment horizontal="center" vertical="top" wrapText="1"/>
    </xf>
    <xf numFmtId="0" fontId="4" fillId="0" borderId="5" xfId="0" applyFont="1" applyBorder="1" applyAlignment="1">
      <alignment horizontal="center" vertical="top" wrapText="1"/>
    </xf>
    <xf numFmtId="0" fontId="4" fillId="0" borderId="6" xfId="0" applyFont="1" applyBorder="1" applyAlignment="1">
      <alignment horizontal="center" vertical="top" wrapText="1"/>
    </xf>
    <xf numFmtId="0" fontId="4" fillId="0" borderId="7" xfId="0" applyFont="1" applyBorder="1" applyAlignment="1">
      <alignment horizontal="center" vertical="top" wrapText="1"/>
    </xf>
    <xf numFmtId="0" fontId="4" fillId="0" borderId="0" xfId="0" applyFont="1" applyAlignment="1">
      <alignment horizontal="left"/>
    </xf>
    <xf numFmtId="0" fontId="5" fillId="0" borderId="1" xfId="0" applyFont="1" applyBorder="1" applyAlignment="1">
      <alignment horizontal="center"/>
    </xf>
    <xf numFmtId="0" fontId="5" fillId="0" borderId="8" xfId="0" applyFont="1" applyBorder="1" applyAlignment="1">
      <alignment horizontal="center"/>
    </xf>
    <xf numFmtId="0" fontId="7" fillId="0" borderId="3" xfId="0" applyFont="1" applyBorder="1" applyAlignment="1">
      <alignment horizontal="left" vertical="center" wrapText="1"/>
    </xf>
    <xf numFmtId="0" fontId="7" fillId="0" borderId="5" xfId="0" applyFont="1" applyBorder="1" applyAlignment="1">
      <alignment horizontal="left" vertical="center" wrapText="1"/>
    </xf>
    <xf numFmtId="0" fontId="5" fillId="0" borderId="3" xfId="0" applyFont="1" applyBorder="1" applyAlignment="1">
      <alignment horizontal="center"/>
    </xf>
    <xf numFmtId="0" fontId="5" fillId="0" borderId="4" xfId="0" applyFont="1" applyBorder="1" applyAlignment="1">
      <alignment horizontal="center"/>
    </xf>
    <xf numFmtId="0" fontId="5" fillId="0" borderId="5" xfId="0" applyFont="1" applyBorder="1" applyAlignment="1">
      <alignment horizontal="center"/>
    </xf>
    <xf numFmtId="0" fontId="0" fillId="0" borderId="5" xfId="0" applyBorder="1" applyAlignment="1">
      <alignment horizontal="left" vertical="center" wrapText="1"/>
    </xf>
    <xf numFmtId="0" fontId="5" fillId="0" borderId="3" xfId="0" applyFont="1" applyBorder="1" applyAlignment="1">
      <alignment horizontal="left" vertical="center" wrapText="1"/>
    </xf>
    <xf numFmtId="0" fontId="2" fillId="0" borderId="5" xfId="0" applyFont="1" applyBorder="1" applyAlignment="1">
      <alignment horizontal="left" vertical="center" wrapText="1"/>
    </xf>
    <xf numFmtId="0" fontId="7" fillId="0" borderId="3" xfId="0" applyFont="1" applyFill="1" applyBorder="1" applyAlignment="1">
      <alignment horizontal="left" vertical="center" wrapText="1"/>
    </xf>
    <xf numFmtId="0" fontId="22" fillId="0" borderId="5" xfId="0" applyFont="1" applyBorder="1" applyAlignment="1">
      <alignment horizontal="left" vertical="center"/>
    </xf>
    <xf numFmtId="0" fontId="7" fillId="0" borderId="3" xfId="0" applyFont="1" applyFill="1" applyBorder="1" applyAlignment="1">
      <alignment horizontal="center" vertical="center" wrapText="1"/>
    </xf>
    <xf numFmtId="0" fontId="22" fillId="0" borderId="5" xfId="0" applyFont="1" applyBorder="1" applyAlignment="1">
      <alignment horizontal="center" vertical="center"/>
    </xf>
    <xf numFmtId="0" fontId="7" fillId="0" borderId="1" xfId="0" applyFont="1" applyFill="1" applyBorder="1" applyAlignment="1">
      <alignment horizontal="center" vertical="center" wrapText="1"/>
    </xf>
    <xf numFmtId="0" fontId="0" fillId="0" borderId="1" xfId="0" applyBorder="1" applyAlignment="1">
      <alignment horizontal="center" vertical="center" wrapText="1"/>
    </xf>
    <xf numFmtId="0" fontId="4" fillId="0" borderId="3" xfId="0" applyFont="1" applyFill="1" applyBorder="1" applyAlignment="1">
      <alignment horizontal="center" vertical="center" wrapText="1"/>
    </xf>
    <xf numFmtId="0" fontId="0" fillId="0" borderId="5" xfId="0" applyBorder="1" applyAlignment="1">
      <alignment horizontal="center" vertical="center"/>
    </xf>
    <xf numFmtId="0" fontId="24" fillId="0" borderId="1" xfId="0" applyFont="1" applyBorder="1" applyAlignment="1">
      <alignment horizontal="center" vertical="center" wrapText="1"/>
    </xf>
    <xf numFmtId="0" fontId="25" fillId="0" borderId="1" xfId="0" applyFont="1" applyBorder="1" applyAlignment="1">
      <alignment horizontal="center" vertical="center" wrapText="1"/>
    </xf>
    <xf numFmtId="0" fontId="7" fillId="0" borderId="5" xfId="0" applyFont="1" applyFill="1" applyBorder="1" applyAlignment="1">
      <alignment horizontal="left" vertical="center" wrapText="1"/>
    </xf>
    <xf numFmtId="0" fontId="5" fillId="0" borderId="1" xfId="0" applyFont="1" applyBorder="1" applyAlignment="1">
      <alignment horizontal="center" wrapText="1"/>
    </xf>
    <xf numFmtId="0" fontId="0" fillId="0" borderId="1" xfId="0" applyBorder="1" applyAlignment="1">
      <alignment horizontal="center" wrapText="1"/>
    </xf>
    <xf numFmtId="0" fontId="5" fillId="0" borderId="0" xfId="0" applyFont="1" applyFill="1" applyAlignment="1">
      <alignment horizontal="center" wrapText="1"/>
    </xf>
    <xf numFmtId="0" fontId="5" fillId="0" borderId="0" xfId="0" applyFont="1" applyFill="1" applyAlignment="1">
      <alignment horizontal="center"/>
    </xf>
    <xf numFmtId="0" fontId="4" fillId="0" borderId="0" xfId="0" applyFont="1" applyFill="1" applyAlignment="1">
      <alignment horizontal="center"/>
    </xf>
    <xf numFmtId="0" fontId="4" fillId="0" borderId="1" xfId="0" applyFont="1" applyFill="1" applyBorder="1" applyAlignment="1">
      <alignment horizontal="center" vertical="center" wrapText="1"/>
    </xf>
  </cellXfs>
  <cellStyles count="5">
    <cellStyle name="Normalny 5" xfId="1"/>
    <cellStyle name="Гиперссылка" xfId="4" builtinId="8"/>
    <cellStyle name="Обычный" xfId="0" builtinId="0"/>
    <cellStyle name="Обычный 2" xfId="2"/>
    <cellStyle name="Обычный_Додаток 2011 дох"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zakon.rada.gov.ua/rada/show/v0011201-11?find=1&amp;text=%D0%BF%D1%96%D0%B4%D1%82%D1%80%D0%B8%D0%BC"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pageSetUpPr fitToPage="1"/>
  </sheetPr>
  <dimension ref="A1:H118"/>
  <sheetViews>
    <sheetView tabSelected="1" zoomScaleNormal="100" workbookViewId="0">
      <selection activeCell="D9" sqref="D9"/>
    </sheetView>
  </sheetViews>
  <sheetFormatPr defaultColWidth="9.140625" defaultRowHeight="18.75" x14ac:dyDescent="0.3"/>
  <cols>
    <col min="1" max="1" width="18.42578125" style="7" bestFit="1" customWidth="1"/>
    <col min="2" max="2" width="65.28515625" style="7" customWidth="1"/>
    <col min="3" max="3" width="19" style="7" customWidth="1"/>
    <col min="4" max="4" width="22.85546875" style="7" customWidth="1"/>
    <col min="5" max="5" width="17.7109375" style="7" customWidth="1"/>
    <col min="6" max="6" width="16.5703125" style="7" customWidth="1"/>
    <col min="7" max="7" width="9.140625" style="7"/>
    <col min="8" max="8" width="16.42578125" style="7" bestFit="1" customWidth="1"/>
    <col min="9" max="16384" width="9.140625" style="7"/>
  </cols>
  <sheetData>
    <row r="1" spans="1:6" x14ac:dyDescent="0.3">
      <c r="D1" s="7" t="s">
        <v>0</v>
      </c>
    </row>
    <row r="2" spans="1:6" x14ac:dyDescent="0.3">
      <c r="D2" s="7" t="s">
        <v>305</v>
      </c>
    </row>
    <row r="3" spans="1:6" x14ac:dyDescent="0.3">
      <c r="D3" s="7" t="s">
        <v>86</v>
      </c>
    </row>
    <row r="4" spans="1:6" x14ac:dyDescent="0.3">
      <c r="D4" s="7" t="s">
        <v>87</v>
      </c>
    </row>
    <row r="5" spans="1:6" x14ac:dyDescent="0.3">
      <c r="D5" s="7" t="s">
        <v>472</v>
      </c>
    </row>
    <row r="6" spans="1:6" x14ac:dyDescent="0.3">
      <c r="D6" s="7" t="s">
        <v>474</v>
      </c>
    </row>
    <row r="7" spans="1:6" x14ac:dyDescent="0.3">
      <c r="D7" s="7" t="s">
        <v>86</v>
      </c>
    </row>
    <row r="8" spans="1:6" x14ac:dyDescent="0.3">
      <c r="D8" s="7" t="s">
        <v>517</v>
      </c>
    </row>
    <row r="9" spans="1:6" x14ac:dyDescent="0.3">
      <c r="D9" s="7" t="s">
        <v>513</v>
      </c>
    </row>
    <row r="11" spans="1:6" ht="25.5" customHeight="1" x14ac:dyDescent="0.3">
      <c r="A11" s="217" t="s">
        <v>432</v>
      </c>
      <c r="B11" s="218"/>
      <c r="C11" s="218"/>
      <c r="D11" s="218"/>
      <c r="E11" s="218"/>
      <c r="F11" s="218"/>
    </row>
    <row r="12" spans="1:6" x14ac:dyDescent="0.3">
      <c r="A12" s="87" t="s">
        <v>89</v>
      </c>
    </row>
    <row r="13" spans="1:6" ht="11.25" customHeight="1" x14ac:dyDescent="0.3">
      <c r="A13" s="7" t="s">
        <v>1</v>
      </c>
      <c r="F13" s="8" t="s">
        <v>2</v>
      </c>
    </row>
    <row r="14" spans="1:6" x14ac:dyDescent="0.3">
      <c r="A14" s="219" t="s">
        <v>3</v>
      </c>
      <c r="B14" s="219" t="s">
        <v>4</v>
      </c>
      <c r="C14" s="220" t="s">
        <v>5</v>
      </c>
      <c r="D14" s="219" t="s">
        <v>6</v>
      </c>
      <c r="E14" s="219" t="s">
        <v>7</v>
      </c>
      <c r="F14" s="219"/>
    </row>
    <row r="15" spans="1:6" x14ac:dyDescent="0.3">
      <c r="A15" s="219"/>
      <c r="B15" s="219"/>
      <c r="C15" s="219"/>
      <c r="D15" s="219"/>
      <c r="E15" s="219" t="s">
        <v>8</v>
      </c>
      <c r="F15" s="219" t="s">
        <v>9</v>
      </c>
    </row>
    <row r="16" spans="1:6" x14ac:dyDescent="0.3">
      <c r="A16" s="219"/>
      <c r="B16" s="219"/>
      <c r="C16" s="219"/>
      <c r="D16" s="219"/>
      <c r="E16" s="219"/>
      <c r="F16" s="219"/>
    </row>
    <row r="17" spans="1:6" x14ac:dyDescent="0.3">
      <c r="A17" s="9">
        <v>1</v>
      </c>
      <c r="B17" s="9">
        <v>2</v>
      </c>
      <c r="C17" s="10">
        <v>3</v>
      </c>
      <c r="D17" s="9">
        <v>4</v>
      </c>
      <c r="E17" s="9">
        <v>5</v>
      </c>
      <c r="F17" s="9">
        <v>6</v>
      </c>
    </row>
    <row r="18" spans="1:6" x14ac:dyDescent="0.3">
      <c r="A18" s="11">
        <v>10000000</v>
      </c>
      <c r="B18" s="12" t="s">
        <v>10</v>
      </c>
      <c r="C18" s="13">
        <f t="shared" ref="C18:C52" si="0">D18+E18</f>
        <v>27043100</v>
      </c>
      <c r="D18" s="14">
        <f>D19+D28+D35+D43</f>
        <v>27043100</v>
      </c>
      <c r="E18" s="14">
        <f t="shared" ref="E18:F18" si="1">E19+E28+E35+E43</f>
        <v>0</v>
      </c>
      <c r="F18" s="14">
        <f t="shared" si="1"/>
        <v>0</v>
      </c>
    </row>
    <row r="19" spans="1:6" ht="37.5" x14ac:dyDescent="0.3">
      <c r="A19" s="11">
        <v>11000000</v>
      </c>
      <c r="B19" s="12" t="s">
        <v>11</v>
      </c>
      <c r="C19" s="13">
        <f t="shared" si="0"/>
        <v>15212800</v>
      </c>
      <c r="D19" s="14">
        <f>D20+D26</f>
        <v>15212800</v>
      </c>
      <c r="E19" s="14">
        <f t="shared" ref="E19:F19" si="2">E20</f>
        <v>0</v>
      </c>
      <c r="F19" s="14">
        <f t="shared" si="2"/>
        <v>0</v>
      </c>
    </row>
    <row r="20" spans="1:6" x14ac:dyDescent="0.3">
      <c r="A20" s="11">
        <v>11010000</v>
      </c>
      <c r="B20" s="12" t="s">
        <v>12</v>
      </c>
      <c r="C20" s="13">
        <f t="shared" si="0"/>
        <v>15212800</v>
      </c>
      <c r="D20" s="14">
        <f>D21+D22+D23+D24+D25</f>
        <v>15212800</v>
      </c>
      <c r="E20" s="14">
        <f t="shared" ref="E20:F20" si="3">E21+E22+E23+E24</f>
        <v>0</v>
      </c>
      <c r="F20" s="14">
        <f t="shared" si="3"/>
        <v>0</v>
      </c>
    </row>
    <row r="21" spans="1:6" ht="56.25" x14ac:dyDescent="0.3">
      <c r="A21" s="15">
        <v>11010100</v>
      </c>
      <c r="B21" s="16" t="s">
        <v>13</v>
      </c>
      <c r="C21" s="17">
        <f t="shared" si="0"/>
        <v>14510000</v>
      </c>
      <c r="D21" s="18">
        <v>14510000</v>
      </c>
      <c r="E21" s="18"/>
      <c r="F21" s="18"/>
    </row>
    <row r="22" spans="1:6" ht="93.75" hidden="1" x14ac:dyDescent="0.3">
      <c r="A22" s="15">
        <v>11010200</v>
      </c>
      <c r="B22" s="16" t="s">
        <v>14</v>
      </c>
      <c r="C22" s="17">
        <f t="shared" si="0"/>
        <v>0</v>
      </c>
      <c r="D22" s="18">
        <v>0</v>
      </c>
      <c r="E22" s="18"/>
      <c r="F22" s="18"/>
    </row>
    <row r="23" spans="1:6" ht="56.25" x14ac:dyDescent="0.3">
      <c r="A23" s="15">
        <v>11010400</v>
      </c>
      <c r="B23" s="16" t="s">
        <v>15</v>
      </c>
      <c r="C23" s="17">
        <f t="shared" si="0"/>
        <v>455000</v>
      </c>
      <c r="D23" s="18">
        <v>455000</v>
      </c>
      <c r="E23" s="18"/>
      <c r="F23" s="18"/>
    </row>
    <row r="24" spans="1:6" ht="56.25" x14ac:dyDescent="0.3">
      <c r="A24" s="15">
        <v>11010500</v>
      </c>
      <c r="B24" s="16" t="s">
        <v>16</v>
      </c>
      <c r="C24" s="17">
        <f t="shared" si="0"/>
        <v>235000</v>
      </c>
      <c r="D24" s="18">
        <v>235000</v>
      </c>
      <c r="E24" s="18"/>
      <c r="F24" s="18"/>
    </row>
    <row r="25" spans="1:6" customFormat="1" ht="56.25" x14ac:dyDescent="0.2">
      <c r="A25" s="15">
        <v>11011300</v>
      </c>
      <c r="B25" s="16" t="s">
        <v>366</v>
      </c>
      <c r="C25" s="17">
        <f t="shared" si="0"/>
        <v>12800</v>
      </c>
      <c r="D25" s="18">
        <v>12800</v>
      </c>
      <c r="E25" s="18"/>
      <c r="F25" s="18"/>
    </row>
    <row r="26" spans="1:6" customFormat="1" x14ac:dyDescent="0.2">
      <c r="A26" s="11">
        <v>11020000</v>
      </c>
      <c r="B26" s="12" t="s">
        <v>17</v>
      </c>
      <c r="C26" s="13">
        <f>C27</f>
        <v>0</v>
      </c>
      <c r="D26" s="14">
        <f>D27</f>
        <v>0</v>
      </c>
      <c r="E26" s="14"/>
      <c r="F26" s="14"/>
    </row>
    <row r="27" spans="1:6" customFormat="1" ht="37.5" x14ac:dyDescent="0.2">
      <c r="A27" s="15">
        <v>11020200</v>
      </c>
      <c r="B27" s="16" t="s">
        <v>18</v>
      </c>
      <c r="C27" s="17">
        <f t="shared" si="0"/>
        <v>0</v>
      </c>
      <c r="D27" s="18">
        <v>0</v>
      </c>
      <c r="E27" s="18">
        <v>0</v>
      </c>
      <c r="F27" s="18">
        <v>0</v>
      </c>
    </row>
    <row r="28" spans="1:6" ht="37.5" x14ac:dyDescent="0.3">
      <c r="A28" s="11">
        <v>13000000</v>
      </c>
      <c r="B28" s="12" t="s">
        <v>19</v>
      </c>
      <c r="C28" s="13">
        <f t="shared" si="0"/>
        <v>45000</v>
      </c>
      <c r="D28" s="14">
        <f>D29+D31+D33</f>
        <v>45000</v>
      </c>
      <c r="E28" s="14">
        <f t="shared" ref="E28:F28" si="4">E29+E31+E33</f>
        <v>0</v>
      </c>
      <c r="F28" s="14">
        <f t="shared" si="4"/>
        <v>0</v>
      </c>
    </row>
    <row r="29" spans="1:6" ht="37.5" x14ac:dyDescent="0.3">
      <c r="A29" s="11">
        <v>13010000</v>
      </c>
      <c r="B29" s="12" t="s">
        <v>20</v>
      </c>
      <c r="C29" s="13">
        <f t="shared" si="0"/>
        <v>40000</v>
      </c>
      <c r="D29" s="14">
        <f>D30</f>
        <v>40000</v>
      </c>
      <c r="E29" s="14">
        <f t="shared" ref="E29:F29" si="5">E30</f>
        <v>0</v>
      </c>
      <c r="F29" s="14">
        <f t="shared" si="5"/>
        <v>0</v>
      </c>
    </row>
    <row r="30" spans="1:6" ht="93.75" x14ac:dyDescent="0.3">
      <c r="A30" s="15">
        <v>13010200</v>
      </c>
      <c r="B30" s="16" t="s">
        <v>21</v>
      </c>
      <c r="C30" s="17">
        <f t="shared" si="0"/>
        <v>40000</v>
      </c>
      <c r="D30" s="18">
        <v>40000</v>
      </c>
      <c r="E30" s="18"/>
      <c r="F30" s="18"/>
    </row>
    <row r="31" spans="1:6" ht="37.5" x14ac:dyDescent="0.3">
      <c r="A31" s="11">
        <v>13030000</v>
      </c>
      <c r="B31" s="12" t="s">
        <v>22</v>
      </c>
      <c r="C31" s="13">
        <f t="shared" si="0"/>
        <v>5000</v>
      </c>
      <c r="D31" s="14">
        <f>D32</f>
        <v>5000</v>
      </c>
      <c r="E31" s="14">
        <f t="shared" ref="E31:F31" si="6">E32</f>
        <v>0</v>
      </c>
      <c r="F31" s="14">
        <f t="shared" si="6"/>
        <v>0</v>
      </c>
    </row>
    <row r="32" spans="1:6" ht="56.25" x14ac:dyDescent="0.3">
      <c r="A32" s="15">
        <v>13030100</v>
      </c>
      <c r="B32" s="16" t="s">
        <v>23</v>
      </c>
      <c r="C32" s="17">
        <f t="shared" si="0"/>
        <v>5000</v>
      </c>
      <c r="D32" s="18">
        <v>5000</v>
      </c>
      <c r="E32" s="18"/>
      <c r="F32" s="18"/>
    </row>
    <row r="33" spans="1:6" ht="37.5" hidden="1" x14ac:dyDescent="0.3">
      <c r="A33" s="11">
        <v>13040000</v>
      </c>
      <c r="B33" s="12" t="s">
        <v>24</v>
      </c>
      <c r="C33" s="13">
        <f t="shared" si="0"/>
        <v>0</v>
      </c>
      <c r="D33" s="14">
        <f>D34</f>
        <v>0</v>
      </c>
      <c r="E33" s="14">
        <f t="shared" ref="E33:F33" si="7">E34</f>
        <v>0</v>
      </c>
      <c r="F33" s="14">
        <f t="shared" si="7"/>
        <v>0</v>
      </c>
    </row>
    <row r="34" spans="1:6" ht="37.5" hidden="1" x14ac:dyDescent="0.3">
      <c r="A34" s="15">
        <v>13040100</v>
      </c>
      <c r="B34" s="16" t="s">
        <v>25</v>
      </c>
      <c r="C34" s="17">
        <f t="shared" si="0"/>
        <v>0</v>
      </c>
      <c r="D34" s="18"/>
      <c r="E34" s="18"/>
      <c r="F34" s="18"/>
    </row>
    <row r="35" spans="1:6" x14ac:dyDescent="0.3">
      <c r="A35" s="11">
        <v>14000000</v>
      </c>
      <c r="B35" s="12" t="s">
        <v>26</v>
      </c>
      <c r="C35" s="13">
        <f t="shared" si="0"/>
        <v>780000</v>
      </c>
      <c r="D35" s="14">
        <f>D36+D38+D40</f>
        <v>780000</v>
      </c>
      <c r="E35" s="14">
        <f t="shared" ref="E35:F35" si="8">E36+E38+E40</f>
        <v>0</v>
      </c>
      <c r="F35" s="14">
        <f t="shared" si="8"/>
        <v>0</v>
      </c>
    </row>
    <row r="36" spans="1:6" ht="37.5" x14ac:dyDescent="0.3">
      <c r="A36" s="11">
        <v>14020000</v>
      </c>
      <c r="B36" s="12" t="s">
        <v>27</v>
      </c>
      <c r="C36" s="13">
        <f t="shared" si="0"/>
        <v>30000</v>
      </c>
      <c r="D36" s="14">
        <f>D37</f>
        <v>30000</v>
      </c>
      <c r="E36" s="14">
        <f t="shared" ref="E36:F36" si="9">E37</f>
        <v>0</v>
      </c>
      <c r="F36" s="14">
        <f t="shared" si="9"/>
        <v>0</v>
      </c>
    </row>
    <row r="37" spans="1:6" x14ac:dyDescent="0.3">
      <c r="A37" s="15">
        <v>14021900</v>
      </c>
      <c r="B37" s="16" t="s">
        <v>28</v>
      </c>
      <c r="C37" s="17">
        <f t="shared" si="0"/>
        <v>30000</v>
      </c>
      <c r="D37" s="18">
        <v>30000</v>
      </c>
      <c r="E37" s="18"/>
      <c r="F37" s="18"/>
    </row>
    <row r="38" spans="1:6" ht="56.25" x14ac:dyDescent="0.3">
      <c r="A38" s="11">
        <v>14030000</v>
      </c>
      <c r="B38" s="12" t="s">
        <v>29</v>
      </c>
      <c r="C38" s="13">
        <f t="shared" si="0"/>
        <v>250000</v>
      </c>
      <c r="D38" s="14">
        <f>D39</f>
        <v>250000</v>
      </c>
      <c r="E38" s="14">
        <f t="shared" ref="E38:F38" si="10">E39</f>
        <v>0</v>
      </c>
      <c r="F38" s="14">
        <f t="shared" si="10"/>
        <v>0</v>
      </c>
    </row>
    <row r="39" spans="1:6" x14ac:dyDescent="0.3">
      <c r="A39" s="15">
        <v>14031900</v>
      </c>
      <c r="B39" s="16" t="s">
        <v>28</v>
      </c>
      <c r="C39" s="17">
        <f t="shared" si="0"/>
        <v>250000</v>
      </c>
      <c r="D39" s="18">
        <v>250000</v>
      </c>
      <c r="E39" s="18">
        <v>0</v>
      </c>
      <c r="F39" s="18">
        <v>0</v>
      </c>
    </row>
    <row r="40" spans="1:6" ht="56.25" x14ac:dyDescent="0.3">
      <c r="A40" s="11">
        <v>14040000</v>
      </c>
      <c r="B40" s="12" t="s">
        <v>30</v>
      </c>
      <c r="C40" s="13">
        <f t="shared" si="0"/>
        <v>500000</v>
      </c>
      <c r="D40" s="14">
        <f>D41+D42</f>
        <v>500000</v>
      </c>
      <c r="E40" s="14">
        <f t="shared" ref="E40:F40" si="11">E42</f>
        <v>0</v>
      </c>
      <c r="F40" s="14">
        <f t="shared" si="11"/>
        <v>0</v>
      </c>
    </row>
    <row r="41" spans="1:6" ht="131.25" x14ac:dyDescent="0.3">
      <c r="A41" s="15">
        <v>14040100</v>
      </c>
      <c r="B41" s="16" t="s">
        <v>364</v>
      </c>
      <c r="C41" s="17">
        <f>D41</f>
        <v>500000</v>
      </c>
      <c r="D41" s="18">
        <v>500000</v>
      </c>
      <c r="E41" s="14"/>
      <c r="F41" s="14"/>
    </row>
    <row r="42" spans="1:6" ht="93.75" x14ac:dyDescent="0.3">
      <c r="A42" s="19" t="s">
        <v>83</v>
      </c>
      <c r="B42" s="16" t="s">
        <v>84</v>
      </c>
      <c r="C42" s="17">
        <f>D42+E42</f>
        <v>0</v>
      </c>
      <c r="D42" s="18">
        <v>0</v>
      </c>
      <c r="E42" s="18"/>
      <c r="F42" s="18"/>
    </row>
    <row r="43" spans="1:6" ht="56.25" x14ac:dyDescent="0.3">
      <c r="A43" s="11">
        <v>18000000</v>
      </c>
      <c r="B43" s="12" t="s">
        <v>31</v>
      </c>
      <c r="C43" s="13">
        <f>D43+E43</f>
        <v>11005300</v>
      </c>
      <c r="D43" s="14">
        <f>D44+D53+D56</f>
        <v>11005300</v>
      </c>
      <c r="E43" s="14">
        <f t="shared" ref="E43:F43" si="12">E44+E53+E56</f>
        <v>0</v>
      </c>
      <c r="F43" s="14">
        <f t="shared" si="12"/>
        <v>0</v>
      </c>
    </row>
    <row r="44" spans="1:6" x14ac:dyDescent="0.3">
      <c r="A44" s="11">
        <v>18010000</v>
      </c>
      <c r="B44" s="12" t="s">
        <v>32</v>
      </c>
      <c r="C44" s="13">
        <f t="shared" si="0"/>
        <v>3205300</v>
      </c>
      <c r="D44" s="14">
        <f>D45+D46+D47+D48+D49+D50+D51+D52</f>
        <v>3205300</v>
      </c>
      <c r="E44" s="14">
        <f t="shared" ref="E44:F44" si="13">E45+E46+E47+E48+E49+E50+E51+E52</f>
        <v>0</v>
      </c>
      <c r="F44" s="14">
        <f t="shared" si="13"/>
        <v>0</v>
      </c>
    </row>
    <row r="45" spans="1:6" customFormat="1" ht="56.25" x14ac:dyDescent="0.2">
      <c r="A45" s="15">
        <v>18010100</v>
      </c>
      <c r="B45" s="16" t="s">
        <v>33</v>
      </c>
      <c r="C45" s="17">
        <f t="shared" si="0"/>
        <v>5300</v>
      </c>
      <c r="D45" s="18">
        <v>5300</v>
      </c>
      <c r="E45" s="18"/>
      <c r="F45" s="18"/>
    </row>
    <row r="46" spans="1:6" customFormat="1" ht="56.25" x14ac:dyDescent="0.2">
      <c r="A46" s="15">
        <v>18010200</v>
      </c>
      <c r="B46" s="16" t="s">
        <v>34</v>
      </c>
      <c r="C46" s="17">
        <f t="shared" si="0"/>
        <v>80000</v>
      </c>
      <c r="D46" s="18">
        <v>80000</v>
      </c>
      <c r="E46" s="18"/>
      <c r="F46" s="18"/>
    </row>
    <row r="47" spans="1:6" customFormat="1" ht="56.25" x14ac:dyDescent="0.2">
      <c r="A47" s="15">
        <v>18010300</v>
      </c>
      <c r="B47" s="16" t="s">
        <v>35</v>
      </c>
      <c r="C47" s="17">
        <f t="shared" si="0"/>
        <v>100000</v>
      </c>
      <c r="D47" s="18">
        <v>100000</v>
      </c>
      <c r="E47" s="18"/>
      <c r="F47" s="18"/>
    </row>
    <row r="48" spans="1:6" ht="56.25" x14ac:dyDescent="0.3">
      <c r="A48" s="15">
        <v>18010400</v>
      </c>
      <c r="B48" s="16" t="s">
        <v>36</v>
      </c>
      <c r="C48" s="17">
        <f t="shared" si="0"/>
        <v>450000</v>
      </c>
      <c r="D48" s="18">
        <v>450000</v>
      </c>
      <c r="E48" s="18"/>
      <c r="F48" s="18"/>
    </row>
    <row r="49" spans="1:6" x14ac:dyDescent="0.3">
      <c r="A49" s="15">
        <v>18010500</v>
      </c>
      <c r="B49" s="16" t="s">
        <v>37</v>
      </c>
      <c r="C49" s="17">
        <f t="shared" si="0"/>
        <v>1500000</v>
      </c>
      <c r="D49" s="18">
        <v>1500000</v>
      </c>
      <c r="E49" s="18"/>
      <c r="F49" s="18"/>
    </row>
    <row r="50" spans="1:6" x14ac:dyDescent="0.3">
      <c r="A50" s="15">
        <v>18010600</v>
      </c>
      <c r="B50" s="16" t="s">
        <v>38</v>
      </c>
      <c r="C50" s="17">
        <f t="shared" si="0"/>
        <v>700000</v>
      </c>
      <c r="D50" s="18">
        <v>700000</v>
      </c>
      <c r="E50" s="18"/>
      <c r="F50" s="18"/>
    </row>
    <row r="51" spans="1:6" x14ac:dyDescent="0.3">
      <c r="A51" s="15">
        <v>18010700</v>
      </c>
      <c r="B51" s="16" t="s">
        <v>39</v>
      </c>
      <c r="C51" s="17">
        <f t="shared" si="0"/>
        <v>70000</v>
      </c>
      <c r="D51" s="18">
        <v>70000</v>
      </c>
      <c r="E51" s="18"/>
      <c r="F51" s="18"/>
    </row>
    <row r="52" spans="1:6" x14ac:dyDescent="0.3">
      <c r="A52" s="15">
        <v>18010900</v>
      </c>
      <c r="B52" s="16" t="s">
        <v>40</v>
      </c>
      <c r="C52" s="17">
        <f t="shared" si="0"/>
        <v>300000</v>
      </c>
      <c r="D52" s="18">
        <v>300000</v>
      </c>
      <c r="E52" s="18"/>
      <c r="F52" s="18"/>
    </row>
    <row r="53" spans="1:6" customFormat="1" x14ac:dyDescent="0.2">
      <c r="A53" s="11">
        <v>18030000</v>
      </c>
      <c r="B53" s="12" t="s">
        <v>41</v>
      </c>
      <c r="C53" s="13">
        <f t="shared" ref="C53:C84" si="14">D53+E53</f>
        <v>0</v>
      </c>
      <c r="D53" s="14">
        <f>D54+D55</f>
        <v>0</v>
      </c>
      <c r="E53" s="14">
        <v>0</v>
      </c>
      <c r="F53" s="14">
        <v>0</v>
      </c>
    </row>
    <row r="54" spans="1:6" customFormat="1" hidden="1" x14ac:dyDescent="0.2">
      <c r="A54" s="15">
        <v>18030100</v>
      </c>
      <c r="B54" s="16" t="s">
        <v>42</v>
      </c>
      <c r="C54" s="17">
        <f t="shared" si="14"/>
        <v>0</v>
      </c>
      <c r="D54" s="18"/>
      <c r="E54" s="18"/>
      <c r="F54" s="18"/>
    </row>
    <row r="55" spans="1:6" customFormat="1" x14ac:dyDescent="0.2">
      <c r="A55" s="15">
        <v>18030200</v>
      </c>
      <c r="B55" s="16" t="s">
        <v>43</v>
      </c>
      <c r="C55" s="17">
        <f t="shared" si="14"/>
        <v>0</v>
      </c>
      <c r="D55" s="18">
        <v>0</v>
      </c>
      <c r="E55" s="18"/>
      <c r="F55" s="18"/>
    </row>
    <row r="56" spans="1:6" x14ac:dyDescent="0.3">
      <c r="A56" s="11">
        <v>18050000</v>
      </c>
      <c r="B56" s="12" t="s">
        <v>44</v>
      </c>
      <c r="C56" s="13">
        <f t="shared" si="14"/>
        <v>7800000</v>
      </c>
      <c r="D56" s="14">
        <f>D57+D58+D59</f>
        <v>7800000</v>
      </c>
      <c r="E56" s="14">
        <f t="shared" ref="E56:F56" si="15">E57+E58+E59</f>
        <v>0</v>
      </c>
      <c r="F56" s="14">
        <f t="shared" si="15"/>
        <v>0</v>
      </c>
    </row>
    <row r="57" spans="1:6" x14ac:dyDescent="0.3">
      <c r="A57" s="15">
        <v>18050300</v>
      </c>
      <c r="B57" s="16" t="s">
        <v>45</v>
      </c>
      <c r="C57" s="17">
        <f t="shared" si="14"/>
        <v>550000</v>
      </c>
      <c r="D57" s="18">
        <v>550000</v>
      </c>
      <c r="E57" s="18"/>
      <c r="F57" s="18"/>
    </row>
    <row r="58" spans="1:6" x14ac:dyDescent="0.3">
      <c r="A58" s="15">
        <v>18050400</v>
      </c>
      <c r="B58" s="16" t="s">
        <v>46</v>
      </c>
      <c r="C58" s="17">
        <f t="shared" si="14"/>
        <v>6800000</v>
      </c>
      <c r="D58" s="18">
        <v>6800000</v>
      </c>
      <c r="E58" s="18"/>
      <c r="F58" s="18"/>
    </row>
    <row r="59" spans="1:6" ht="93.75" x14ac:dyDescent="0.3">
      <c r="A59" s="15">
        <v>18050500</v>
      </c>
      <c r="B59" s="16" t="s">
        <v>47</v>
      </c>
      <c r="C59" s="17">
        <f t="shared" si="14"/>
        <v>450000</v>
      </c>
      <c r="D59" s="18">
        <v>450000</v>
      </c>
      <c r="E59" s="18"/>
      <c r="F59" s="18"/>
    </row>
    <row r="60" spans="1:6" customFormat="1" ht="24" hidden="1" customHeight="1" x14ac:dyDescent="0.2">
      <c r="A60" s="11">
        <v>19000000</v>
      </c>
      <c r="B60" s="12" t="s">
        <v>48</v>
      </c>
      <c r="C60" s="13">
        <f t="shared" si="14"/>
        <v>0</v>
      </c>
      <c r="D60" s="14">
        <v>0</v>
      </c>
      <c r="E60" s="14">
        <f>E61</f>
        <v>0</v>
      </c>
      <c r="F60" s="14">
        <v>0</v>
      </c>
    </row>
    <row r="61" spans="1:6" customFormat="1" hidden="1" x14ac:dyDescent="0.2">
      <c r="A61" s="11">
        <v>19010000</v>
      </c>
      <c r="B61" s="12" t="s">
        <v>49</v>
      </c>
      <c r="C61" s="13">
        <f t="shared" si="14"/>
        <v>0</v>
      </c>
      <c r="D61" s="14">
        <v>0</v>
      </c>
      <c r="E61" s="14">
        <f>E62</f>
        <v>0</v>
      </c>
      <c r="F61" s="14">
        <v>0</v>
      </c>
    </row>
    <row r="62" spans="1:6" customFormat="1" ht="75" hidden="1" x14ac:dyDescent="0.2">
      <c r="A62" s="15">
        <v>19010100</v>
      </c>
      <c r="B62" s="16" t="s">
        <v>50</v>
      </c>
      <c r="C62" s="17">
        <f t="shared" si="14"/>
        <v>0</v>
      </c>
      <c r="D62" s="18"/>
      <c r="E62" s="18">
        <v>0</v>
      </c>
      <c r="F62" s="18"/>
    </row>
    <row r="63" spans="1:6" customFormat="1" ht="75" hidden="1" x14ac:dyDescent="0.2">
      <c r="A63" s="15">
        <v>19010300</v>
      </c>
      <c r="B63" s="16" t="s">
        <v>51</v>
      </c>
      <c r="C63" s="17">
        <f t="shared" si="14"/>
        <v>0</v>
      </c>
      <c r="D63" s="18"/>
      <c r="E63" s="18"/>
      <c r="F63" s="18"/>
    </row>
    <row r="64" spans="1:6" customFormat="1" x14ac:dyDescent="0.2">
      <c r="A64" s="11">
        <v>20000000</v>
      </c>
      <c r="B64" s="12" t="s">
        <v>52</v>
      </c>
      <c r="C64" s="13">
        <f>C70+C77</f>
        <v>10700</v>
      </c>
      <c r="D64" s="14">
        <f>D70+D77</f>
        <v>10700</v>
      </c>
      <c r="E64" s="14">
        <v>0</v>
      </c>
      <c r="F64" s="14">
        <v>0</v>
      </c>
    </row>
    <row r="65" spans="1:6" customFormat="1" ht="37.5" hidden="1" x14ac:dyDescent="0.2">
      <c r="A65" s="11">
        <v>21000000</v>
      </c>
      <c r="B65" s="12" t="s">
        <v>53</v>
      </c>
      <c r="C65" s="13">
        <f t="shared" si="14"/>
        <v>0</v>
      </c>
      <c r="D65" s="14">
        <v>0</v>
      </c>
      <c r="E65" s="14">
        <v>0</v>
      </c>
      <c r="F65" s="14">
        <v>0</v>
      </c>
    </row>
    <row r="66" spans="1:6" customFormat="1" hidden="1" x14ac:dyDescent="0.2">
      <c r="A66" s="11">
        <v>21080000</v>
      </c>
      <c r="B66" s="12" t="s">
        <v>54</v>
      </c>
      <c r="C66" s="13">
        <f t="shared" si="14"/>
        <v>0</v>
      </c>
      <c r="D66" s="14">
        <f>D67+D68+D69</f>
        <v>0</v>
      </c>
      <c r="E66" s="14">
        <v>0</v>
      </c>
      <c r="F66" s="14">
        <v>0</v>
      </c>
    </row>
    <row r="67" spans="1:6" customFormat="1" hidden="1" x14ac:dyDescent="0.2">
      <c r="A67" s="15">
        <v>21081100</v>
      </c>
      <c r="B67" s="16" t="s">
        <v>55</v>
      </c>
      <c r="C67" s="17">
        <f t="shared" si="14"/>
        <v>0</v>
      </c>
      <c r="D67" s="18"/>
      <c r="E67" s="18"/>
      <c r="F67" s="18"/>
    </row>
    <row r="68" spans="1:6" customFormat="1" ht="56.25" hidden="1" x14ac:dyDescent="0.2">
      <c r="A68" s="15">
        <v>21081500</v>
      </c>
      <c r="B68" s="16" t="s">
        <v>56</v>
      </c>
      <c r="C68" s="17">
        <f t="shared" si="14"/>
        <v>0</v>
      </c>
      <c r="D68" s="18"/>
      <c r="E68" s="18"/>
      <c r="F68" s="18"/>
    </row>
    <row r="69" spans="1:6" customFormat="1" hidden="1" x14ac:dyDescent="0.2">
      <c r="A69" s="15">
        <v>21081700</v>
      </c>
      <c r="B69" s="16" t="s">
        <v>57</v>
      </c>
      <c r="C69" s="17">
        <f t="shared" si="14"/>
        <v>0</v>
      </c>
      <c r="D69" s="18"/>
      <c r="E69" s="18"/>
      <c r="F69" s="18"/>
    </row>
    <row r="70" spans="1:6" customFormat="1" ht="37.5" x14ac:dyDescent="0.2">
      <c r="A70" s="11">
        <v>22000000</v>
      </c>
      <c r="B70" s="12" t="s">
        <v>58</v>
      </c>
      <c r="C70" s="13">
        <f t="shared" si="14"/>
        <v>5000</v>
      </c>
      <c r="D70" s="14">
        <f>D71+D73+D75</f>
        <v>5000</v>
      </c>
      <c r="E70" s="14">
        <v>0</v>
      </c>
      <c r="F70" s="14">
        <v>0</v>
      </c>
    </row>
    <row r="71" spans="1:6" customFormat="1" x14ac:dyDescent="0.2">
      <c r="A71" s="11">
        <v>22010000</v>
      </c>
      <c r="B71" s="12" t="s">
        <v>59</v>
      </c>
      <c r="C71" s="13">
        <f t="shared" si="14"/>
        <v>5000</v>
      </c>
      <c r="D71" s="14">
        <f>D72</f>
        <v>5000</v>
      </c>
      <c r="E71" s="14">
        <v>0</v>
      </c>
      <c r="F71" s="14">
        <v>0</v>
      </c>
    </row>
    <row r="72" spans="1:6" customFormat="1" x14ac:dyDescent="0.2">
      <c r="A72" s="15">
        <v>22012500</v>
      </c>
      <c r="B72" s="16" t="s">
        <v>60</v>
      </c>
      <c r="C72" s="17">
        <f t="shared" si="14"/>
        <v>5000</v>
      </c>
      <c r="D72" s="18">
        <v>5000</v>
      </c>
      <c r="E72" s="18"/>
      <c r="F72" s="18"/>
    </row>
    <row r="73" spans="1:6" customFormat="1" ht="56.25" hidden="1" x14ac:dyDescent="0.2">
      <c r="A73" s="11">
        <v>22080000</v>
      </c>
      <c r="B73" s="12" t="s">
        <v>61</v>
      </c>
      <c r="C73" s="13">
        <f t="shared" si="14"/>
        <v>0</v>
      </c>
      <c r="D73" s="14">
        <f>D74</f>
        <v>0</v>
      </c>
      <c r="E73" s="14">
        <v>0</v>
      </c>
      <c r="F73" s="14">
        <v>0</v>
      </c>
    </row>
    <row r="74" spans="1:6" customFormat="1" ht="56.25" hidden="1" x14ac:dyDescent="0.2">
      <c r="A74" s="15">
        <v>22080400</v>
      </c>
      <c r="B74" s="16" t="s">
        <v>62</v>
      </c>
      <c r="C74" s="17">
        <f t="shared" si="14"/>
        <v>0</v>
      </c>
      <c r="D74" s="18"/>
      <c r="E74" s="18"/>
      <c r="F74" s="18"/>
    </row>
    <row r="75" spans="1:6" customFormat="1" hidden="1" x14ac:dyDescent="0.2">
      <c r="A75" s="11">
        <v>22090000</v>
      </c>
      <c r="B75" s="12" t="s">
        <v>63</v>
      </c>
      <c r="C75" s="13">
        <f t="shared" si="14"/>
        <v>0</v>
      </c>
      <c r="D75" s="14">
        <f>D76</f>
        <v>0</v>
      </c>
      <c r="E75" s="14">
        <v>0</v>
      </c>
      <c r="F75" s="14">
        <v>0</v>
      </c>
    </row>
    <row r="76" spans="1:6" customFormat="1" ht="112.5" hidden="1" x14ac:dyDescent="0.2">
      <c r="A76" s="11">
        <v>22130000</v>
      </c>
      <c r="B76" s="12" t="s">
        <v>431</v>
      </c>
      <c r="C76" s="17">
        <f t="shared" si="14"/>
        <v>0</v>
      </c>
      <c r="D76" s="18">
        <f>700-700</f>
        <v>0</v>
      </c>
      <c r="E76" s="18"/>
      <c r="F76" s="18"/>
    </row>
    <row r="77" spans="1:6" customFormat="1" x14ac:dyDescent="0.2">
      <c r="A77" s="11">
        <v>24000000</v>
      </c>
      <c r="B77" s="12" t="s">
        <v>64</v>
      </c>
      <c r="C77" s="13">
        <f t="shared" si="14"/>
        <v>5700</v>
      </c>
      <c r="D77" s="14">
        <f>D78</f>
        <v>5700</v>
      </c>
      <c r="E77" s="14">
        <v>0</v>
      </c>
      <c r="F77" s="14">
        <v>0</v>
      </c>
    </row>
    <row r="78" spans="1:6" customFormat="1" x14ac:dyDescent="0.2">
      <c r="A78" s="11">
        <v>24060000</v>
      </c>
      <c r="B78" s="12" t="s">
        <v>54</v>
      </c>
      <c r="C78" s="13">
        <f t="shared" si="14"/>
        <v>5700</v>
      </c>
      <c r="D78" s="14">
        <f>D79</f>
        <v>5700</v>
      </c>
      <c r="E78" s="14">
        <v>0</v>
      </c>
      <c r="F78" s="14">
        <v>0</v>
      </c>
    </row>
    <row r="79" spans="1:6" customFormat="1" x14ac:dyDescent="0.2">
      <c r="A79" s="15">
        <v>24060300</v>
      </c>
      <c r="B79" s="16" t="s">
        <v>54</v>
      </c>
      <c r="C79" s="17">
        <f t="shared" si="14"/>
        <v>5700</v>
      </c>
      <c r="D79" s="18">
        <f>5000+700</f>
        <v>5700</v>
      </c>
      <c r="E79" s="18"/>
      <c r="F79" s="18"/>
    </row>
    <row r="80" spans="1:6" customFormat="1" hidden="1" x14ac:dyDescent="0.2">
      <c r="A80" s="11">
        <v>25000000</v>
      </c>
      <c r="B80" s="12" t="s">
        <v>65</v>
      </c>
      <c r="C80" s="13">
        <f t="shared" si="14"/>
        <v>0</v>
      </c>
      <c r="D80" s="14">
        <v>0</v>
      </c>
      <c r="E80" s="14">
        <f>E81</f>
        <v>0</v>
      </c>
      <c r="F80" s="14">
        <v>0</v>
      </c>
    </row>
    <row r="81" spans="1:8" customFormat="1" ht="56.25" hidden="1" x14ac:dyDescent="0.2">
      <c r="A81" s="11">
        <v>25010000</v>
      </c>
      <c r="B81" s="12" t="s">
        <v>66</v>
      </c>
      <c r="C81" s="13">
        <f t="shared" si="14"/>
        <v>0</v>
      </c>
      <c r="D81" s="14">
        <v>0</v>
      </c>
      <c r="E81" s="14">
        <f>E82</f>
        <v>0</v>
      </c>
      <c r="F81" s="14">
        <v>0</v>
      </c>
    </row>
    <row r="82" spans="1:8" customFormat="1" ht="56.25" hidden="1" x14ac:dyDescent="0.2">
      <c r="A82" s="15">
        <v>25010300</v>
      </c>
      <c r="B82" s="16" t="s">
        <v>367</v>
      </c>
      <c r="C82" s="17">
        <f t="shared" si="14"/>
        <v>0</v>
      </c>
      <c r="D82" s="18">
        <v>0</v>
      </c>
      <c r="E82" s="18">
        <v>0</v>
      </c>
      <c r="F82" s="18">
        <v>0</v>
      </c>
    </row>
    <row r="83" spans="1:8" ht="37.5" x14ac:dyDescent="0.3">
      <c r="A83" s="20"/>
      <c r="B83" s="21" t="s">
        <v>67</v>
      </c>
      <c r="C83" s="13">
        <f t="shared" si="14"/>
        <v>27053800</v>
      </c>
      <c r="D83" s="13">
        <f>D64+D18</f>
        <v>27053800</v>
      </c>
      <c r="E83" s="13">
        <f>E60+E80</f>
        <v>0</v>
      </c>
      <c r="F83" s="13">
        <f t="shared" ref="F83" si="16">F64+F18</f>
        <v>0</v>
      </c>
    </row>
    <row r="84" spans="1:8" x14ac:dyDescent="0.3">
      <c r="A84" s="11">
        <v>40000000</v>
      </c>
      <c r="B84" s="12" t="s">
        <v>68</v>
      </c>
      <c r="C84" s="13">
        <f t="shared" si="14"/>
        <v>68213226</v>
      </c>
      <c r="D84" s="14">
        <f>D85</f>
        <v>68213226</v>
      </c>
      <c r="E84" s="14">
        <f t="shared" ref="E84:F84" si="17">E85</f>
        <v>0</v>
      </c>
      <c r="F84" s="14">
        <f t="shared" si="17"/>
        <v>0</v>
      </c>
    </row>
    <row r="85" spans="1:8" x14ac:dyDescent="0.3">
      <c r="A85" s="11">
        <v>41000000</v>
      </c>
      <c r="B85" s="12" t="s">
        <v>69</v>
      </c>
      <c r="C85" s="13">
        <f t="shared" ref="C85:C104" si="18">D85+E85</f>
        <v>68213226</v>
      </c>
      <c r="D85" s="14">
        <f>D86+D90+D95+D98</f>
        <v>68213226</v>
      </c>
      <c r="E85" s="14">
        <f t="shared" ref="E85:F85" si="19">E86+E90+E95+E98</f>
        <v>0</v>
      </c>
      <c r="F85" s="14">
        <f t="shared" si="19"/>
        <v>0</v>
      </c>
    </row>
    <row r="86" spans="1:8" ht="37.5" x14ac:dyDescent="0.3">
      <c r="A86" s="11">
        <v>41020000</v>
      </c>
      <c r="B86" s="12" t="s">
        <v>70</v>
      </c>
      <c r="C86" s="13">
        <f t="shared" si="18"/>
        <v>47157500</v>
      </c>
      <c r="D86" s="14">
        <f>SUM(D87:D89)</f>
        <v>47157500</v>
      </c>
      <c r="E86" s="14">
        <f t="shared" ref="E86:F86" si="20">SUM(E87:E88)</f>
        <v>0</v>
      </c>
      <c r="F86" s="14">
        <f t="shared" si="20"/>
        <v>0</v>
      </c>
    </row>
    <row r="87" spans="1:8" x14ac:dyDescent="0.3">
      <c r="A87" s="15">
        <v>41020100</v>
      </c>
      <c r="B87" s="16" t="s">
        <v>71</v>
      </c>
      <c r="C87" s="17">
        <f t="shared" ref="C87" si="21">D87+E87</f>
        <v>45062700</v>
      </c>
      <c r="D87" s="18">
        <v>45062700</v>
      </c>
      <c r="E87" s="18"/>
      <c r="F87" s="18"/>
    </row>
    <row r="88" spans="1:8" ht="56.25" x14ac:dyDescent="0.3">
      <c r="A88" s="15">
        <v>41020300</v>
      </c>
      <c r="B88" s="65" t="s">
        <v>468</v>
      </c>
      <c r="C88" s="17">
        <f t="shared" si="18"/>
        <v>1586000</v>
      </c>
      <c r="D88" s="18">
        <v>1586000</v>
      </c>
      <c r="E88" s="18"/>
      <c r="F88" s="18"/>
    </row>
    <row r="89" spans="1:8" ht="131.25" x14ac:dyDescent="0.3">
      <c r="A89" s="25">
        <v>41021400</v>
      </c>
      <c r="B89" s="65" t="s">
        <v>495</v>
      </c>
      <c r="C89" s="17">
        <f>D89</f>
        <v>508800</v>
      </c>
      <c r="D89" s="18">
        <f>357700+151100</f>
        <v>508800</v>
      </c>
      <c r="E89" s="18"/>
      <c r="F89" s="18"/>
    </row>
    <row r="90" spans="1:8" ht="37.5" x14ac:dyDescent="0.3">
      <c r="A90" s="11">
        <v>41030000</v>
      </c>
      <c r="B90" s="12" t="s">
        <v>72</v>
      </c>
      <c r="C90" s="13">
        <f>E90+D90</f>
        <v>20779700</v>
      </c>
      <c r="D90" s="22">
        <f>D92+D91+D93+D94</f>
        <v>20779700</v>
      </c>
      <c r="E90" s="14">
        <f>E93</f>
        <v>0</v>
      </c>
      <c r="F90" s="14">
        <v>0</v>
      </c>
    </row>
    <row r="91" spans="1:8" ht="409.5" hidden="1" x14ac:dyDescent="0.3">
      <c r="A91" s="15">
        <v>41030500</v>
      </c>
      <c r="B91" s="16" t="s">
        <v>349</v>
      </c>
      <c r="C91" s="17">
        <f t="shared" si="18"/>
        <v>0</v>
      </c>
      <c r="D91" s="23">
        <v>0</v>
      </c>
      <c r="E91" s="18"/>
      <c r="F91" s="18"/>
    </row>
    <row r="92" spans="1:8" ht="37.5" x14ac:dyDescent="0.3">
      <c r="A92" s="15">
        <v>41033900</v>
      </c>
      <c r="B92" s="16" t="s">
        <v>73</v>
      </c>
      <c r="C92" s="17">
        <f t="shared" si="18"/>
        <v>19506700</v>
      </c>
      <c r="D92" s="23">
        <f>12021600+7485100</f>
        <v>19506700</v>
      </c>
      <c r="E92" s="18">
        <v>0</v>
      </c>
      <c r="F92" s="18">
        <v>0</v>
      </c>
      <c r="H92" s="166"/>
    </row>
    <row r="93" spans="1:8" ht="56.25" x14ac:dyDescent="0.3">
      <c r="A93" s="15">
        <v>41035400</v>
      </c>
      <c r="B93" s="180" t="s">
        <v>387</v>
      </c>
      <c r="C93" s="17">
        <f>D93</f>
        <v>10500</v>
      </c>
      <c r="D93" s="23">
        <v>10500</v>
      </c>
      <c r="E93" s="18">
        <v>0</v>
      </c>
      <c r="F93" s="18"/>
      <c r="H93" s="166"/>
    </row>
    <row r="94" spans="1:8" ht="56.25" x14ac:dyDescent="0.3">
      <c r="A94" s="15">
        <v>41036300</v>
      </c>
      <c r="B94" s="138" t="s">
        <v>388</v>
      </c>
      <c r="C94" s="17">
        <f>D94</f>
        <v>1262500</v>
      </c>
      <c r="D94" s="23">
        <v>1262500</v>
      </c>
      <c r="E94" s="18"/>
      <c r="F94" s="18"/>
      <c r="H94" s="166"/>
    </row>
    <row r="95" spans="1:8" ht="37.5" hidden="1" x14ac:dyDescent="0.3">
      <c r="A95" s="11">
        <v>41040000</v>
      </c>
      <c r="B95" s="12" t="s">
        <v>74</v>
      </c>
      <c r="C95" s="13">
        <f t="shared" si="18"/>
        <v>0</v>
      </c>
      <c r="D95" s="22">
        <f>D96+D97</f>
        <v>0</v>
      </c>
      <c r="E95" s="14">
        <v>0</v>
      </c>
      <c r="F95" s="14">
        <v>0</v>
      </c>
    </row>
    <row r="96" spans="1:8" ht="93.75" hidden="1" x14ac:dyDescent="0.3">
      <c r="A96" s="15">
        <v>41040200</v>
      </c>
      <c r="B96" s="16" t="s">
        <v>80</v>
      </c>
      <c r="C96" s="17">
        <f t="shared" si="18"/>
        <v>0</v>
      </c>
      <c r="D96" s="23">
        <v>0</v>
      </c>
      <c r="E96" s="18"/>
      <c r="F96" s="18"/>
    </row>
    <row r="97" spans="1:8" customFormat="1" hidden="1" x14ac:dyDescent="0.2">
      <c r="A97" s="15">
        <v>41040400</v>
      </c>
      <c r="B97" s="16" t="s">
        <v>75</v>
      </c>
      <c r="C97" s="17">
        <f t="shared" si="18"/>
        <v>0</v>
      </c>
      <c r="D97" s="23">
        <v>0</v>
      </c>
      <c r="E97" s="1"/>
      <c r="F97" s="1"/>
    </row>
    <row r="98" spans="1:8" ht="37.5" x14ac:dyDescent="0.3">
      <c r="A98" s="11">
        <v>41050000</v>
      </c>
      <c r="B98" s="12" t="s">
        <v>76</v>
      </c>
      <c r="C98" s="13">
        <f t="shared" si="18"/>
        <v>276026</v>
      </c>
      <c r="D98" s="22">
        <f>SUM(D99:D104)</f>
        <v>276026</v>
      </c>
      <c r="E98" s="22">
        <f t="shared" ref="E98:F98" si="22">SUM(E100:E104)</f>
        <v>0</v>
      </c>
      <c r="F98" s="22">
        <f t="shared" si="22"/>
        <v>0</v>
      </c>
    </row>
    <row r="99" spans="1:8" ht="409.5" hidden="1" x14ac:dyDescent="0.3">
      <c r="A99" s="11">
        <v>41050600</v>
      </c>
      <c r="B99" s="138" t="s">
        <v>351</v>
      </c>
      <c r="C99" s="13">
        <f t="shared" si="18"/>
        <v>0</v>
      </c>
      <c r="D99" s="22">
        <v>0</v>
      </c>
      <c r="E99" s="22"/>
      <c r="F99" s="22"/>
    </row>
    <row r="100" spans="1:8" ht="75" hidden="1" x14ac:dyDescent="0.3">
      <c r="A100" s="15">
        <v>41051200</v>
      </c>
      <c r="B100" s="16" t="s">
        <v>309</v>
      </c>
      <c r="C100" s="17">
        <f t="shared" ref="C100:C102" si="23">D100+E100</f>
        <v>0</v>
      </c>
      <c r="D100" s="23">
        <v>0</v>
      </c>
      <c r="E100" s="18"/>
      <c r="F100" s="18"/>
    </row>
    <row r="101" spans="1:8" ht="75" hidden="1" x14ac:dyDescent="0.3">
      <c r="A101" s="15">
        <v>41051700</v>
      </c>
      <c r="B101" s="164" t="s">
        <v>361</v>
      </c>
      <c r="C101" s="17">
        <f t="shared" si="23"/>
        <v>0</v>
      </c>
      <c r="D101" s="23">
        <v>0</v>
      </c>
      <c r="E101" s="14"/>
      <c r="F101" s="14"/>
    </row>
    <row r="102" spans="1:8" ht="37.5" hidden="1" x14ac:dyDescent="0.3">
      <c r="A102" s="15">
        <v>41053600</v>
      </c>
      <c r="B102" s="196" t="s">
        <v>345</v>
      </c>
      <c r="C102" s="17">
        <f t="shared" si="23"/>
        <v>0</v>
      </c>
      <c r="D102" s="23"/>
      <c r="E102" s="18">
        <v>0</v>
      </c>
      <c r="F102" s="18"/>
    </row>
    <row r="103" spans="1:8" ht="56.25" hidden="1" x14ac:dyDescent="0.3">
      <c r="A103" s="15">
        <v>41053800</v>
      </c>
      <c r="B103" s="197" t="s">
        <v>419</v>
      </c>
      <c r="C103" s="17">
        <v>0</v>
      </c>
      <c r="D103" s="23">
        <f>700000-700000</f>
        <v>0</v>
      </c>
      <c r="E103" s="18">
        <v>0</v>
      </c>
      <c r="F103" s="18">
        <v>0</v>
      </c>
    </row>
    <row r="104" spans="1:8" x14ac:dyDescent="0.3">
      <c r="A104" s="15">
        <v>41053900</v>
      </c>
      <c r="B104" s="16" t="s">
        <v>77</v>
      </c>
      <c r="C104" s="17">
        <f t="shared" si="18"/>
        <v>276026</v>
      </c>
      <c r="D104" s="23">
        <f>87686+315000-285000+158340</f>
        <v>276026</v>
      </c>
      <c r="E104" s="18"/>
      <c r="F104" s="18"/>
      <c r="H104" s="166"/>
    </row>
    <row r="105" spans="1:8" ht="48" hidden="1" x14ac:dyDescent="0.3">
      <c r="A105" s="11">
        <v>41059000</v>
      </c>
      <c r="B105" s="157" t="s">
        <v>355</v>
      </c>
      <c r="C105" s="13">
        <f>C106</f>
        <v>0</v>
      </c>
      <c r="D105" s="23"/>
      <c r="E105" s="22">
        <f>E106</f>
        <v>0</v>
      </c>
      <c r="F105" s="18">
        <f>F106</f>
        <v>0</v>
      </c>
    </row>
    <row r="106" spans="1:8" ht="95.25" hidden="1" x14ac:dyDescent="0.3">
      <c r="A106" s="15">
        <v>41059200</v>
      </c>
      <c r="B106" s="156" t="s">
        <v>356</v>
      </c>
      <c r="C106" s="17">
        <f>E106</f>
        <v>0</v>
      </c>
      <c r="D106" s="23"/>
      <c r="E106" s="18">
        <v>0</v>
      </c>
      <c r="F106" s="18">
        <v>0</v>
      </c>
    </row>
    <row r="107" spans="1:8" x14ac:dyDescent="0.3">
      <c r="A107" s="24" t="s">
        <v>79</v>
      </c>
      <c r="B107" s="21" t="s">
        <v>78</v>
      </c>
      <c r="C107" s="13">
        <f>D107+E107</f>
        <v>95267026</v>
      </c>
      <c r="D107" s="13">
        <f>D83+D84</f>
        <v>95267026</v>
      </c>
      <c r="E107" s="13">
        <f>E84</f>
        <v>0</v>
      </c>
      <c r="F107" s="13">
        <f>F98</f>
        <v>0</v>
      </c>
    </row>
    <row r="109" spans="1:8" s="25" customFormat="1" x14ac:dyDescent="0.3">
      <c r="B109" s="26"/>
      <c r="E109" s="26"/>
    </row>
    <row r="110" spans="1:8" s="25" customFormat="1" x14ac:dyDescent="0.3">
      <c r="B110" s="25" t="s">
        <v>81</v>
      </c>
      <c r="E110" s="25" t="s">
        <v>82</v>
      </c>
    </row>
    <row r="111" spans="1:8" s="25" customFormat="1" ht="11.25" customHeight="1" x14ac:dyDescent="0.3"/>
    <row r="112" spans="1:8" s="25" customFormat="1" x14ac:dyDescent="0.3"/>
    <row r="113" spans="3:3" s="25" customFormat="1" x14ac:dyDescent="0.3"/>
    <row r="114" spans="3:3" s="25" customFormat="1" x14ac:dyDescent="0.3"/>
    <row r="118" spans="3:3" x14ac:dyDescent="0.3">
      <c r="C118" s="150"/>
    </row>
  </sheetData>
  <autoFilter ref="A17:F107">
    <filterColumn colId="2">
      <customFilters>
        <customFilter operator="notEqual" val="0"/>
      </customFilters>
    </filterColumn>
  </autoFilter>
  <mergeCells count="8">
    <mergeCell ref="A11:F11"/>
    <mergeCell ref="A14:A16"/>
    <mergeCell ref="B14:B16"/>
    <mergeCell ref="C14:C16"/>
    <mergeCell ref="D14:D16"/>
    <mergeCell ref="E14:F14"/>
    <mergeCell ref="E15:E16"/>
    <mergeCell ref="F15:F16"/>
  </mergeCells>
  <hyperlinks>
    <hyperlink ref="B101" r:id="rId1" location="w1_13" display="w1_13"/>
  </hyperlinks>
  <printOptions horizontalCentered="1"/>
  <pageMargins left="0.39370078740157483" right="0.19685039370078741" top="0.39370078740157483" bottom="0.39370078740157483" header="0" footer="0"/>
  <pageSetup paperSize="9" scale="67" fitToHeight="500"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9"/>
  <sheetViews>
    <sheetView workbookViewId="0">
      <selection activeCell="D9" sqref="D9"/>
    </sheetView>
  </sheetViews>
  <sheetFormatPr defaultColWidth="9.140625" defaultRowHeight="18.75" x14ac:dyDescent="0.3"/>
  <cols>
    <col min="1" max="1" width="15.28515625" style="7" customWidth="1"/>
    <col min="2" max="2" width="41" style="7" customWidth="1"/>
    <col min="3" max="3" width="18.140625" style="7" customWidth="1"/>
    <col min="4" max="4" width="18.85546875" style="7" customWidth="1"/>
    <col min="5" max="5" width="16.42578125" style="7" bestFit="1" customWidth="1"/>
    <col min="6" max="6" width="20.5703125" style="7" customWidth="1"/>
    <col min="7" max="7" width="9.140625" style="7"/>
    <col min="8" max="8" width="16.42578125" style="7" bestFit="1" customWidth="1"/>
    <col min="9" max="16384" width="9.140625" style="7"/>
  </cols>
  <sheetData>
    <row r="1" spans="1:6" x14ac:dyDescent="0.3">
      <c r="D1" s="7" t="s">
        <v>85</v>
      </c>
    </row>
    <row r="2" spans="1:6" x14ac:dyDescent="0.3">
      <c r="D2" s="7" t="s">
        <v>305</v>
      </c>
    </row>
    <row r="3" spans="1:6" x14ac:dyDescent="0.3">
      <c r="D3" s="7" t="s">
        <v>86</v>
      </c>
    </row>
    <row r="4" spans="1:6" x14ac:dyDescent="0.3">
      <c r="D4" s="7" t="s">
        <v>87</v>
      </c>
    </row>
    <row r="5" spans="1:6" x14ac:dyDescent="0.3">
      <c r="D5" s="7" t="s">
        <v>472</v>
      </c>
    </row>
    <row r="6" spans="1:6" x14ac:dyDescent="0.3">
      <c r="D6" s="7" t="s">
        <v>474</v>
      </c>
    </row>
    <row r="7" spans="1:6" x14ac:dyDescent="0.3">
      <c r="D7" s="7" t="s">
        <v>86</v>
      </c>
    </row>
    <row r="8" spans="1:6" x14ac:dyDescent="0.3">
      <c r="D8" s="7" t="s">
        <v>517</v>
      </c>
    </row>
    <row r="9" spans="1:6" x14ac:dyDescent="0.3">
      <c r="D9" s="7" t="s">
        <v>514</v>
      </c>
    </row>
    <row r="11" spans="1:6" ht="48" customHeight="1" x14ac:dyDescent="0.3">
      <c r="A11" s="224" t="s">
        <v>433</v>
      </c>
      <c r="B11" s="218"/>
      <c r="C11" s="218"/>
      <c r="D11" s="218"/>
      <c r="E11" s="218"/>
      <c r="F11" s="218"/>
    </row>
    <row r="12" spans="1:6" ht="25.5" customHeight="1" x14ac:dyDescent="0.3">
      <c r="A12" s="27" t="s">
        <v>89</v>
      </c>
      <c r="B12" s="83"/>
      <c r="C12" s="83"/>
      <c r="D12" s="83"/>
      <c r="E12" s="83"/>
      <c r="F12" s="83"/>
    </row>
    <row r="13" spans="1:6" x14ac:dyDescent="0.3">
      <c r="A13" s="7" t="s">
        <v>1</v>
      </c>
      <c r="F13" s="8" t="s">
        <v>2</v>
      </c>
    </row>
    <row r="14" spans="1:6" x14ac:dyDescent="0.3">
      <c r="A14" s="219" t="s">
        <v>3</v>
      </c>
      <c r="B14" s="219" t="s">
        <v>312</v>
      </c>
      <c r="C14" s="220" t="s">
        <v>5</v>
      </c>
      <c r="D14" s="219" t="s">
        <v>6</v>
      </c>
      <c r="E14" s="219" t="s">
        <v>7</v>
      </c>
      <c r="F14" s="219"/>
    </row>
    <row r="15" spans="1:6" x14ac:dyDescent="0.3">
      <c r="A15" s="219"/>
      <c r="B15" s="219"/>
      <c r="C15" s="219"/>
      <c r="D15" s="219"/>
      <c r="E15" s="219" t="s">
        <v>8</v>
      </c>
      <c r="F15" s="219" t="s">
        <v>9</v>
      </c>
    </row>
    <row r="16" spans="1:6" x14ac:dyDescent="0.3">
      <c r="A16" s="219"/>
      <c r="B16" s="219"/>
      <c r="C16" s="219"/>
      <c r="D16" s="219"/>
      <c r="E16" s="219"/>
      <c r="F16" s="219"/>
    </row>
    <row r="17" spans="1:8" x14ac:dyDescent="0.3">
      <c r="A17" s="84">
        <v>1</v>
      </c>
      <c r="B17" s="84">
        <v>2</v>
      </c>
      <c r="C17" s="85">
        <v>3</v>
      </c>
      <c r="D17" s="84">
        <v>4</v>
      </c>
      <c r="E17" s="84">
        <v>5</v>
      </c>
      <c r="F17" s="84">
        <v>6</v>
      </c>
    </row>
    <row r="18" spans="1:8" ht="21" customHeight="1" x14ac:dyDescent="0.3">
      <c r="A18" s="221" t="s">
        <v>313</v>
      </c>
      <c r="B18" s="222"/>
      <c r="C18" s="222"/>
      <c r="D18" s="222"/>
      <c r="E18" s="222"/>
      <c r="F18" s="223"/>
    </row>
    <row r="19" spans="1:8" x14ac:dyDescent="0.3">
      <c r="A19" s="11">
        <v>200000</v>
      </c>
      <c r="B19" s="12" t="s">
        <v>314</v>
      </c>
      <c r="C19" s="13">
        <f t="shared" ref="C19:C24" si="0">D19+E19</f>
        <v>16017899.41</v>
      </c>
      <c r="D19" s="14">
        <f>SUM(D20)</f>
        <v>16017899.41</v>
      </c>
      <c r="E19" s="14">
        <f t="shared" ref="E19:F19" si="1">SUM(E20)</f>
        <v>0</v>
      </c>
      <c r="F19" s="14">
        <f t="shared" si="1"/>
        <v>0</v>
      </c>
    </row>
    <row r="20" spans="1:8" ht="56.25" x14ac:dyDescent="0.3">
      <c r="A20" s="11">
        <v>208000</v>
      </c>
      <c r="B20" s="12" t="s">
        <v>315</v>
      </c>
      <c r="C20" s="13">
        <f t="shared" si="0"/>
        <v>16017899.41</v>
      </c>
      <c r="D20" s="14">
        <f>SUM(D21-D22+D23)</f>
        <v>16017899.41</v>
      </c>
      <c r="E20" s="14">
        <f t="shared" ref="E20:F20" si="2">SUM(E21-E22+E23)</f>
        <v>0</v>
      </c>
      <c r="F20" s="14">
        <f t="shared" si="2"/>
        <v>0</v>
      </c>
      <c r="H20" s="150"/>
    </row>
    <row r="21" spans="1:8" x14ac:dyDescent="0.3">
      <c r="A21" s="15">
        <v>208100</v>
      </c>
      <c r="B21" s="16" t="s">
        <v>316</v>
      </c>
      <c r="C21" s="17">
        <f>D21+E21</f>
        <v>24486024.050000001</v>
      </c>
      <c r="D21" s="18">
        <f>22620517.54+10000</f>
        <v>22630517.539999999</v>
      </c>
      <c r="E21" s="18">
        <v>1855506.51</v>
      </c>
      <c r="F21" s="18"/>
    </row>
    <row r="22" spans="1:8" x14ac:dyDescent="0.3">
      <c r="A22" s="15">
        <v>208200</v>
      </c>
      <c r="B22" s="16" t="s">
        <v>317</v>
      </c>
      <c r="C22" s="17">
        <f>D22+E22</f>
        <v>8468124.6399999987</v>
      </c>
      <c r="D22" s="150">
        <f>22620517.54-2878304.55-42118.1-21185.45-35000-317000-85556.31-450000+10000-641418-2696800-2374917-4799900-400000-165700-400000-50000-660000</f>
        <v>6612618.129999999</v>
      </c>
      <c r="E22" s="18">
        <v>1855506.51</v>
      </c>
      <c r="F22" s="18"/>
      <c r="H22" s="150"/>
    </row>
    <row r="23" spans="1:8" ht="75" x14ac:dyDescent="0.3">
      <c r="A23" s="15">
        <v>208400</v>
      </c>
      <c r="B23" s="16" t="s">
        <v>318</v>
      </c>
      <c r="C23" s="17">
        <f t="shared" si="0"/>
        <v>0</v>
      </c>
      <c r="D23" s="18">
        <v>0</v>
      </c>
      <c r="E23" s="18">
        <f>-SUM(D23)</f>
        <v>0</v>
      </c>
      <c r="F23" s="18">
        <f>SUM(E23)</f>
        <v>0</v>
      </c>
    </row>
    <row r="24" spans="1:8" x14ac:dyDescent="0.3">
      <c r="A24" s="24" t="s">
        <v>79</v>
      </c>
      <c r="B24" s="21" t="s">
        <v>319</v>
      </c>
      <c r="C24" s="13">
        <f t="shared" si="0"/>
        <v>16017899.41</v>
      </c>
      <c r="D24" s="13">
        <f>SUM(D19)</f>
        <v>16017899.41</v>
      </c>
      <c r="E24" s="13">
        <f t="shared" ref="E24:F24" si="3">SUM(E19)</f>
        <v>0</v>
      </c>
      <c r="F24" s="13">
        <f t="shared" si="3"/>
        <v>0</v>
      </c>
    </row>
    <row r="25" spans="1:8" ht="21" customHeight="1" x14ac:dyDescent="0.3">
      <c r="A25" s="221" t="s">
        <v>320</v>
      </c>
      <c r="B25" s="222"/>
      <c r="C25" s="222"/>
      <c r="D25" s="222"/>
      <c r="E25" s="222"/>
      <c r="F25" s="223"/>
    </row>
    <row r="26" spans="1:8" ht="37.5" x14ac:dyDescent="0.3">
      <c r="A26" s="11">
        <v>600000</v>
      </c>
      <c r="B26" s="12" t="s">
        <v>321</v>
      </c>
      <c r="C26" s="13">
        <f t="shared" ref="C26:C31" si="4">D26+E26</f>
        <v>16017899.41</v>
      </c>
      <c r="D26" s="14">
        <f>SUM(D27)</f>
        <v>16017899.41</v>
      </c>
      <c r="E26" s="14">
        <f t="shared" ref="E26:F26" si="5">SUM(E27)</f>
        <v>0</v>
      </c>
      <c r="F26" s="14">
        <f t="shared" si="5"/>
        <v>0</v>
      </c>
    </row>
    <row r="27" spans="1:8" ht="37.5" x14ac:dyDescent="0.3">
      <c r="A27" s="11">
        <v>602000</v>
      </c>
      <c r="B27" s="12" t="s">
        <v>322</v>
      </c>
      <c r="C27" s="13">
        <f t="shared" si="4"/>
        <v>16017899.41</v>
      </c>
      <c r="D27" s="14">
        <f>SUM(D28-D29+D30)</f>
        <v>16017899.41</v>
      </c>
      <c r="E27" s="14">
        <f t="shared" ref="E27:F27" si="6">SUM(E28-E29+E30)</f>
        <v>0</v>
      </c>
      <c r="F27" s="14">
        <f t="shared" si="6"/>
        <v>0</v>
      </c>
    </row>
    <row r="28" spans="1:8" x14ac:dyDescent="0.3">
      <c r="A28" s="15">
        <v>602100</v>
      </c>
      <c r="B28" s="16" t="s">
        <v>316</v>
      </c>
      <c r="C28" s="17">
        <f t="shared" si="4"/>
        <v>24486024.050000001</v>
      </c>
      <c r="D28" s="18">
        <f>SUM(D21)</f>
        <v>22630517.539999999</v>
      </c>
      <c r="E28" s="18">
        <f t="shared" ref="E28:F28" si="7">SUM(E21)</f>
        <v>1855506.51</v>
      </c>
      <c r="F28" s="18">
        <f t="shared" si="7"/>
        <v>0</v>
      </c>
    </row>
    <row r="29" spans="1:8" x14ac:dyDescent="0.3">
      <c r="A29" s="15">
        <v>602200</v>
      </c>
      <c r="B29" s="16" t="s">
        <v>317</v>
      </c>
      <c r="C29" s="17">
        <f t="shared" si="4"/>
        <v>8468124.6399999987</v>
      </c>
      <c r="D29" s="18">
        <f>19742212.99-42118.1-21185.45-35000-317000-85556.31-450000+10000-641418-2696800-2374917-4799900-400000-165700-400000-50000-660000</f>
        <v>6612618.129999999</v>
      </c>
      <c r="E29" s="18">
        <f t="shared" ref="E29:F29" si="8">SUM(E22)</f>
        <v>1855506.51</v>
      </c>
      <c r="F29" s="18">
        <f t="shared" si="8"/>
        <v>0</v>
      </c>
    </row>
    <row r="30" spans="1:8" ht="75" x14ac:dyDescent="0.3">
      <c r="A30" s="15">
        <v>602400</v>
      </c>
      <c r="B30" s="16" t="s">
        <v>318</v>
      </c>
      <c r="C30" s="17">
        <f t="shared" si="4"/>
        <v>0</v>
      </c>
      <c r="D30" s="18">
        <f t="shared" ref="D30:F30" si="9">SUM(D23)</f>
        <v>0</v>
      </c>
      <c r="E30" s="18">
        <f t="shared" si="9"/>
        <v>0</v>
      </c>
      <c r="F30" s="18">
        <f t="shared" si="9"/>
        <v>0</v>
      </c>
    </row>
    <row r="31" spans="1:8" x14ac:dyDescent="0.3">
      <c r="A31" s="24" t="s">
        <v>79</v>
      </c>
      <c r="B31" s="21" t="s">
        <v>319</v>
      </c>
      <c r="C31" s="13">
        <f t="shared" si="4"/>
        <v>16017899.41</v>
      </c>
      <c r="D31" s="13">
        <f>SUM(D26)</f>
        <v>16017899.41</v>
      </c>
      <c r="E31" s="13">
        <f t="shared" ref="E31:F31" si="10">SUM(E26)</f>
        <v>0</v>
      </c>
      <c r="F31" s="13">
        <f t="shared" si="10"/>
        <v>0</v>
      </c>
    </row>
    <row r="34" spans="2:5" x14ac:dyDescent="0.3">
      <c r="B34" s="7" t="s">
        <v>339</v>
      </c>
      <c r="E34" s="7" t="s">
        <v>82</v>
      </c>
    </row>
    <row r="35" spans="2:5" x14ac:dyDescent="0.3">
      <c r="B35" s="26"/>
      <c r="E35" s="26"/>
    </row>
    <row r="38" spans="2:5" x14ac:dyDescent="0.3">
      <c r="B38" s="26"/>
      <c r="E38" s="26"/>
    </row>
    <row r="39" spans="2:5" x14ac:dyDescent="0.3">
      <c r="B39" s="26"/>
      <c r="E39" s="26"/>
    </row>
  </sheetData>
  <mergeCells count="10">
    <mergeCell ref="A18:F18"/>
    <mergeCell ref="A25:F25"/>
    <mergeCell ref="A11:F11"/>
    <mergeCell ref="A14:A16"/>
    <mergeCell ref="B14:B16"/>
    <mergeCell ref="C14:C16"/>
    <mergeCell ref="D14:D16"/>
    <mergeCell ref="E14:F14"/>
    <mergeCell ref="E15:E16"/>
    <mergeCell ref="F15:F16"/>
  </mergeCells>
  <printOptions horizontalCentered="1"/>
  <pageMargins left="0.78740157480314965" right="0.39370078740157483" top="0.39370078740157483" bottom="0.39370078740157483" header="0" footer="0"/>
  <pageSetup paperSize="9" scale="77" fitToHeight="50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pageSetUpPr fitToPage="1"/>
  </sheetPr>
  <dimension ref="A1:P114"/>
  <sheetViews>
    <sheetView topLeftCell="E1" zoomScale="70" zoomScaleNormal="70" workbookViewId="0">
      <selection activeCell="M9" sqref="M9"/>
    </sheetView>
  </sheetViews>
  <sheetFormatPr defaultColWidth="9.140625" defaultRowHeight="18.75" x14ac:dyDescent="0.3"/>
  <cols>
    <col min="1" max="1" width="17" style="7" customWidth="1"/>
    <col min="2" max="2" width="17.5703125" style="7" customWidth="1"/>
    <col min="3" max="3" width="19.28515625" style="7" customWidth="1"/>
    <col min="4" max="4" width="58.85546875" style="7" customWidth="1"/>
    <col min="5" max="5" width="19.42578125" style="7" customWidth="1"/>
    <col min="6" max="6" width="20.140625" style="7" customWidth="1"/>
    <col min="7" max="7" width="18.5703125" style="7" customWidth="1"/>
    <col min="8" max="8" width="16.85546875" style="7" customWidth="1"/>
    <col min="9" max="9" width="13.7109375" style="7" customWidth="1"/>
    <col min="10" max="10" width="17.28515625" style="7" customWidth="1"/>
    <col min="11" max="11" width="18.7109375" style="7" customWidth="1"/>
    <col min="12" max="12" width="16.42578125" style="7" customWidth="1"/>
    <col min="13" max="13" width="13.7109375" style="7" customWidth="1"/>
    <col min="14" max="14" width="15.42578125" style="7" customWidth="1"/>
    <col min="15" max="15" width="17.42578125" style="7" customWidth="1"/>
    <col min="16" max="16" width="19.7109375" style="7" customWidth="1"/>
    <col min="17" max="16384" width="9.140625" style="7"/>
  </cols>
  <sheetData>
    <row r="1" spans="1:16" ht="14.25" customHeight="1" x14ac:dyDescent="0.3">
      <c r="M1" s="7" t="s">
        <v>327</v>
      </c>
    </row>
    <row r="2" spans="1:16" ht="12.75" customHeight="1" x14ac:dyDescent="0.3">
      <c r="M2" s="7" t="s">
        <v>305</v>
      </c>
    </row>
    <row r="3" spans="1:16" ht="15.75" customHeight="1" x14ac:dyDescent="0.3">
      <c r="M3" s="7" t="s">
        <v>86</v>
      </c>
    </row>
    <row r="4" spans="1:16" ht="16.5" customHeight="1" x14ac:dyDescent="0.3">
      <c r="M4" s="7" t="s">
        <v>87</v>
      </c>
    </row>
    <row r="5" spans="1:16" ht="15" customHeight="1" x14ac:dyDescent="0.3">
      <c r="M5" s="7" t="s">
        <v>473</v>
      </c>
    </row>
    <row r="6" spans="1:16" ht="16.5" customHeight="1" x14ac:dyDescent="0.3">
      <c r="M6" s="7" t="s">
        <v>474</v>
      </c>
    </row>
    <row r="7" spans="1:16" ht="16.5" customHeight="1" x14ac:dyDescent="0.3">
      <c r="M7" s="7" t="s">
        <v>86</v>
      </c>
    </row>
    <row r="8" spans="1:16" ht="14.25" customHeight="1" x14ac:dyDescent="0.3">
      <c r="M8" s="7" t="s">
        <v>517</v>
      </c>
    </row>
    <row r="9" spans="1:16" ht="19.899999999999999" customHeight="1" x14ac:dyDescent="0.3">
      <c r="M9" s="7" t="s">
        <v>514</v>
      </c>
    </row>
    <row r="10" spans="1:16" x14ac:dyDescent="0.3">
      <c r="A10" s="217" t="s">
        <v>88</v>
      </c>
      <c r="B10" s="218"/>
      <c r="C10" s="218"/>
      <c r="D10" s="218"/>
      <c r="E10" s="218"/>
      <c r="F10" s="218"/>
      <c r="G10" s="218"/>
      <c r="H10" s="218"/>
      <c r="I10" s="218"/>
      <c r="J10" s="218"/>
      <c r="K10" s="218"/>
      <c r="L10" s="218"/>
      <c r="M10" s="218"/>
      <c r="N10" s="218"/>
      <c r="O10" s="218"/>
      <c r="P10" s="218"/>
    </row>
    <row r="11" spans="1:16" ht="13.5" customHeight="1" x14ac:dyDescent="0.3">
      <c r="A11" s="217" t="s">
        <v>434</v>
      </c>
      <c r="B11" s="218"/>
      <c r="C11" s="218"/>
      <c r="D11" s="218"/>
      <c r="E11" s="218"/>
      <c r="F11" s="218"/>
      <c r="G11" s="218"/>
      <c r="H11" s="218"/>
      <c r="I11" s="218"/>
      <c r="J11" s="218"/>
      <c r="K11" s="218"/>
      <c r="L11" s="218"/>
      <c r="M11" s="218"/>
      <c r="N11" s="218"/>
      <c r="O11" s="218"/>
      <c r="P11" s="218"/>
    </row>
    <row r="12" spans="1:16" ht="15" customHeight="1" x14ac:dyDescent="0.3">
      <c r="A12" s="27" t="s">
        <v>89</v>
      </c>
      <c r="B12" s="28"/>
      <c r="C12" s="28"/>
      <c r="D12" s="28"/>
      <c r="E12" s="28"/>
      <c r="F12" s="28"/>
      <c r="G12" s="28"/>
      <c r="H12" s="28"/>
      <c r="I12" s="28"/>
      <c r="J12" s="28"/>
      <c r="K12" s="28"/>
      <c r="L12" s="28"/>
      <c r="M12" s="28"/>
      <c r="N12" s="28"/>
      <c r="O12" s="28"/>
      <c r="P12" s="28"/>
    </row>
    <row r="13" spans="1:16" ht="14.25" customHeight="1" x14ac:dyDescent="0.3">
      <c r="A13" s="7" t="s">
        <v>1</v>
      </c>
      <c r="P13" s="8" t="s">
        <v>90</v>
      </c>
    </row>
    <row r="14" spans="1:16" x14ac:dyDescent="0.3">
      <c r="A14" s="219" t="s">
        <v>91</v>
      </c>
      <c r="B14" s="219" t="s">
        <v>92</v>
      </c>
      <c r="C14" s="219" t="s">
        <v>93</v>
      </c>
      <c r="D14" s="219" t="s">
        <v>94</v>
      </c>
      <c r="E14" s="219" t="s">
        <v>6</v>
      </c>
      <c r="F14" s="219"/>
      <c r="G14" s="219"/>
      <c r="H14" s="219"/>
      <c r="I14" s="219"/>
      <c r="J14" s="219" t="s">
        <v>7</v>
      </c>
      <c r="K14" s="219"/>
      <c r="L14" s="219"/>
      <c r="M14" s="219"/>
      <c r="N14" s="219"/>
      <c r="O14" s="219"/>
      <c r="P14" s="220" t="s">
        <v>95</v>
      </c>
    </row>
    <row r="15" spans="1:16" x14ac:dyDescent="0.3">
      <c r="A15" s="219"/>
      <c r="B15" s="219"/>
      <c r="C15" s="219"/>
      <c r="D15" s="219"/>
      <c r="E15" s="220" t="s">
        <v>8</v>
      </c>
      <c r="F15" s="219" t="s">
        <v>96</v>
      </c>
      <c r="G15" s="219" t="s">
        <v>97</v>
      </c>
      <c r="H15" s="219"/>
      <c r="I15" s="219" t="s">
        <v>98</v>
      </c>
      <c r="J15" s="220" t="s">
        <v>8</v>
      </c>
      <c r="K15" s="219" t="s">
        <v>9</v>
      </c>
      <c r="L15" s="219" t="s">
        <v>96</v>
      </c>
      <c r="M15" s="219" t="s">
        <v>97</v>
      </c>
      <c r="N15" s="219"/>
      <c r="O15" s="219" t="s">
        <v>98</v>
      </c>
      <c r="P15" s="219"/>
    </row>
    <row r="16" spans="1:16" x14ac:dyDescent="0.3">
      <c r="A16" s="219"/>
      <c r="B16" s="219"/>
      <c r="C16" s="219"/>
      <c r="D16" s="219"/>
      <c r="E16" s="219"/>
      <c r="F16" s="219"/>
      <c r="G16" s="219" t="s">
        <v>99</v>
      </c>
      <c r="H16" s="219" t="s">
        <v>100</v>
      </c>
      <c r="I16" s="219"/>
      <c r="J16" s="219"/>
      <c r="K16" s="219"/>
      <c r="L16" s="219"/>
      <c r="M16" s="219" t="s">
        <v>99</v>
      </c>
      <c r="N16" s="219" t="s">
        <v>100</v>
      </c>
      <c r="O16" s="219"/>
      <c r="P16" s="219"/>
    </row>
    <row r="17" spans="1:16" ht="96.75" customHeight="1" x14ac:dyDescent="0.3">
      <c r="A17" s="219"/>
      <c r="B17" s="219"/>
      <c r="C17" s="219"/>
      <c r="D17" s="219"/>
      <c r="E17" s="219"/>
      <c r="F17" s="219"/>
      <c r="G17" s="219"/>
      <c r="H17" s="219"/>
      <c r="I17" s="219"/>
      <c r="J17" s="219"/>
      <c r="K17" s="219"/>
      <c r="L17" s="219"/>
      <c r="M17" s="219"/>
      <c r="N17" s="219"/>
      <c r="O17" s="219"/>
      <c r="P17" s="219"/>
    </row>
    <row r="18" spans="1:16" x14ac:dyDescent="0.3">
      <c r="A18" s="9">
        <v>1</v>
      </c>
      <c r="B18" s="9">
        <v>2</v>
      </c>
      <c r="C18" s="9">
        <v>3</v>
      </c>
      <c r="D18" s="9">
        <v>4</v>
      </c>
      <c r="E18" s="10">
        <v>5</v>
      </c>
      <c r="F18" s="9">
        <v>6</v>
      </c>
      <c r="G18" s="9">
        <v>7</v>
      </c>
      <c r="H18" s="9">
        <v>8</v>
      </c>
      <c r="I18" s="9">
        <v>9</v>
      </c>
      <c r="J18" s="10">
        <v>10</v>
      </c>
      <c r="K18" s="9">
        <v>11</v>
      </c>
      <c r="L18" s="9">
        <v>12</v>
      </c>
      <c r="M18" s="9">
        <v>13</v>
      </c>
      <c r="N18" s="9">
        <v>14</v>
      </c>
      <c r="O18" s="9">
        <v>15</v>
      </c>
      <c r="P18" s="10">
        <v>16</v>
      </c>
    </row>
    <row r="19" spans="1:16" ht="56.25" x14ac:dyDescent="0.3">
      <c r="A19" s="34">
        <v>5000000</v>
      </c>
      <c r="B19" s="35"/>
      <c r="C19" s="36"/>
      <c r="D19" s="37" t="s">
        <v>395</v>
      </c>
      <c r="E19" s="38">
        <f t="shared" ref="E19:E97" si="0">SUM(F19+I19)</f>
        <v>10380457</v>
      </c>
      <c r="F19" s="39">
        <f>SUM(F20)</f>
        <v>10380457</v>
      </c>
      <c r="G19" s="39">
        <f t="shared" ref="G19:I20" si="1">SUM(G20)</f>
        <v>7574309</v>
      </c>
      <c r="H19" s="39">
        <f t="shared" si="1"/>
        <v>14800</v>
      </c>
      <c r="I19" s="39">
        <f t="shared" si="1"/>
        <v>0</v>
      </c>
      <c r="J19" s="38">
        <f t="shared" ref="J19:J90" si="2">SUM(L19+O19)</f>
        <v>0</v>
      </c>
      <c r="K19" s="39">
        <f t="shared" ref="K19:O20" si="3">SUM(K20)</f>
        <v>0</v>
      </c>
      <c r="L19" s="39">
        <f t="shared" si="3"/>
        <v>0</v>
      </c>
      <c r="M19" s="39">
        <f t="shared" si="3"/>
        <v>0</v>
      </c>
      <c r="N19" s="39">
        <f t="shared" si="3"/>
        <v>0</v>
      </c>
      <c r="O19" s="39">
        <f t="shared" si="3"/>
        <v>0</v>
      </c>
      <c r="P19" s="38">
        <f>E19+J19</f>
        <v>10380457</v>
      </c>
    </row>
    <row r="20" spans="1:16" x14ac:dyDescent="0.3">
      <c r="A20" s="34">
        <v>5010000</v>
      </c>
      <c r="B20" s="35"/>
      <c r="C20" s="36"/>
      <c r="D20" s="37" t="s">
        <v>101</v>
      </c>
      <c r="E20" s="38">
        <f t="shared" si="0"/>
        <v>10380457</v>
      </c>
      <c r="F20" s="39">
        <f>SUM(F21:F22)</f>
        <v>10380457</v>
      </c>
      <c r="G20" s="39">
        <f t="shared" si="1"/>
        <v>7574309</v>
      </c>
      <c r="H20" s="39">
        <f>SUM(H21+H22)</f>
        <v>14800</v>
      </c>
      <c r="I20" s="39">
        <f t="shared" si="1"/>
        <v>0</v>
      </c>
      <c r="J20" s="38">
        <f t="shared" si="2"/>
        <v>0</v>
      </c>
      <c r="K20" s="39">
        <f t="shared" si="3"/>
        <v>0</v>
      </c>
      <c r="L20" s="39">
        <f t="shared" si="3"/>
        <v>0</v>
      </c>
      <c r="M20" s="39">
        <f t="shared" si="3"/>
        <v>0</v>
      </c>
      <c r="N20" s="39">
        <f t="shared" si="3"/>
        <v>0</v>
      </c>
      <c r="O20" s="39">
        <f t="shared" si="3"/>
        <v>0</v>
      </c>
      <c r="P20" s="38">
        <f t="shared" ref="P20:P22" si="4">E20+J20</f>
        <v>10380457</v>
      </c>
    </row>
    <row r="21" spans="1:16" s="70" customFormat="1" ht="56.25" x14ac:dyDescent="0.3">
      <c r="A21" s="89">
        <v>5010160</v>
      </c>
      <c r="B21" s="89" t="s">
        <v>135</v>
      </c>
      <c r="C21" s="90" t="s">
        <v>102</v>
      </c>
      <c r="D21" s="91" t="s">
        <v>103</v>
      </c>
      <c r="E21" s="32">
        <f t="shared" si="0"/>
        <v>9980457</v>
      </c>
      <c r="F21" s="92">
        <f>7574309+1666348+200000+20000+7500+450+6500+350+7000+430000+30000+38000</f>
        <v>9980457</v>
      </c>
      <c r="G21" s="92">
        <v>7574309</v>
      </c>
      <c r="H21" s="92">
        <f>7500+450+6500+350</f>
        <v>14800</v>
      </c>
      <c r="I21" s="92"/>
      <c r="J21" s="32">
        <f t="shared" si="2"/>
        <v>0</v>
      </c>
      <c r="K21" s="92">
        <f>SUM(O21)</f>
        <v>0</v>
      </c>
      <c r="L21" s="92"/>
      <c r="M21" s="92"/>
      <c r="N21" s="92"/>
      <c r="O21" s="92">
        <v>0</v>
      </c>
      <c r="P21" s="32">
        <f t="shared" si="4"/>
        <v>9980457</v>
      </c>
    </row>
    <row r="22" spans="1:16" s="70" customFormat="1" ht="37.5" x14ac:dyDescent="0.3">
      <c r="A22" s="89">
        <v>5018110</v>
      </c>
      <c r="B22" s="29" t="s">
        <v>125</v>
      </c>
      <c r="C22" s="30" t="s">
        <v>126</v>
      </c>
      <c r="D22" s="31" t="s">
        <v>127</v>
      </c>
      <c r="E22" s="32">
        <f t="shared" si="0"/>
        <v>400000</v>
      </c>
      <c r="F22" s="92">
        <v>400000</v>
      </c>
      <c r="G22" s="92"/>
      <c r="H22" s="92">
        <v>0</v>
      </c>
      <c r="I22" s="92"/>
      <c r="J22" s="32"/>
      <c r="K22" s="92"/>
      <c r="L22" s="92"/>
      <c r="M22" s="92"/>
      <c r="N22" s="92"/>
      <c r="O22" s="92"/>
      <c r="P22" s="32">
        <f t="shared" si="4"/>
        <v>400000</v>
      </c>
    </row>
    <row r="23" spans="1:16" ht="37.5" x14ac:dyDescent="0.3">
      <c r="A23" s="34" t="s">
        <v>104</v>
      </c>
      <c r="B23" s="35"/>
      <c r="C23" s="36"/>
      <c r="D23" s="37" t="s">
        <v>394</v>
      </c>
      <c r="E23" s="38">
        <f t="shared" si="0"/>
        <v>25430265.550000001</v>
      </c>
      <c r="F23" s="39">
        <f>F24</f>
        <v>25430265.550000001</v>
      </c>
      <c r="G23" s="39">
        <f t="shared" ref="G23:I23" si="5">G24</f>
        <v>17922904.100000001</v>
      </c>
      <c r="H23" s="39">
        <f t="shared" si="5"/>
        <v>600000</v>
      </c>
      <c r="I23" s="39">
        <f t="shared" si="5"/>
        <v>0</v>
      </c>
      <c r="J23" s="38">
        <f t="shared" si="2"/>
        <v>0</v>
      </c>
      <c r="K23" s="39">
        <f t="shared" ref="K23:O23" si="6">K24</f>
        <v>0</v>
      </c>
      <c r="L23" s="39">
        <f t="shared" si="6"/>
        <v>0</v>
      </c>
      <c r="M23" s="39">
        <f t="shared" si="6"/>
        <v>0</v>
      </c>
      <c r="N23" s="39">
        <f t="shared" si="6"/>
        <v>0</v>
      </c>
      <c r="O23" s="39">
        <f t="shared" si="6"/>
        <v>0</v>
      </c>
      <c r="P23" s="38">
        <f>E23+J23</f>
        <v>25430265.550000001</v>
      </c>
    </row>
    <row r="24" spans="1:16" x14ac:dyDescent="0.3">
      <c r="A24" s="34" t="s">
        <v>105</v>
      </c>
      <c r="B24" s="35"/>
      <c r="C24" s="36"/>
      <c r="D24" s="37" t="s">
        <v>101</v>
      </c>
      <c r="E24" s="38">
        <f t="shared" si="0"/>
        <v>25430265.550000001</v>
      </c>
      <c r="F24" s="39">
        <f>SUM(F25:F34)</f>
        <v>25430265.550000001</v>
      </c>
      <c r="G24" s="39">
        <f>SUM(G25:G33)</f>
        <v>17922904.100000001</v>
      </c>
      <c r="H24" s="39">
        <f>SUM(H25:H33)</f>
        <v>600000</v>
      </c>
      <c r="I24" s="39">
        <f t="shared" ref="I24" si="7">SUM(I25:I32)</f>
        <v>0</v>
      </c>
      <c r="J24" s="38">
        <f t="shared" si="2"/>
        <v>0</v>
      </c>
      <c r="K24" s="39">
        <f t="shared" ref="K24:O24" si="8">SUM(K25:K32)</f>
        <v>0</v>
      </c>
      <c r="L24" s="39">
        <f t="shared" si="8"/>
        <v>0</v>
      </c>
      <c r="M24" s="39">
        <f t="shared" si="8"/>
        <v>0</v>
      </c>
      <c r="N24" s="39">
        <f t="shared" si="8"/>
        <v>0</v>
      </c>
      <c r="O24" s="39">
        <f t="shared" si="8"/>
        <v>0</v>
      </c>
      <c r="P24" s="38">
        <f t="shared" ref="P24:P101" si="9">E24+J24</f>
        <v>25430265.550000001</v>
      </c>
    </row>
    <row r="25" spans="1:16" ht="98.45" customHeight="1" x14ac:dyDescent="0.3">
      <c r="A25" s="29" t="s">
        <v>106</v>
      </c>
      <c r="B25" s="29" t="s">
        <v>107</v>
      </c>
      <c r="C25" s="30" t="s">
        <v>102</v>
      </c>
      <c r="D25" s="31" t="s">
        <v>108</v>
      </c>
      <c r="E25" s="32">
        <f t="shared" si="0"/>
        <v>22427151</v>
      </c>
      <c r="F25" s="33">
        <f>17185598+3557656+480597+579900+30000+600000+8700+9700-25000</f>
        <v>22427151</v>
      </c>
      <c r="G25" s="33">
        <v>17185598</v>
      </c>
      <c r="H25" s="33">
        <v>600000</v>
      </c>
      <c r="I25" s="33"/>
      <c r="J25" s="32">
        <f t="shared" si="2"/>
        <v>0</v>
      </c>
      <c r="K25" s="33">
        <f t="shared" ref="K25:K32" si="10">SUM(O25)</f>
        <v>0</v>
      </c>
      <c r="L25" s="33"/>
      <c r="M25" s="33"/>
      <c r="N25" s="33"/>
      <c r="O25" s="33"/>
      <c r="P25" s="32">
        <f t="shared" si="9"/>
        <v>22427151</v>
      </c>
    </row>
    <row r="26" spans="1:16" hidden="1" x14ac:dyDescent="0.3">
      <c r="A26" s="29" t="s">
        <v>109</v>
      </c>
      <c r="B26" s="29" t="s">
        <v>110</v>
      </c>
      <c r="C26" s="30" t="s">
        <v>111</v>
      </c>
      <c r="D26" s="31" t="s">
        <v>112</v>
      </c>
      <c r="E26" s="32">
        <f t="shared" si="0"/>
        <v>0</v>
      </c>
      <c r="F26" s="33">
        <v>0</v>
      </c>
      <c r="G26" s="33"/>
      <c r="H26" s="33"/>
      <c r="I26" s="33"/>
      <c r="J26" s="32">
        <f t="shared" si="2"/>
        <v>0</v>
      </c>
      <c r="K26" s="33">
        <f t="shared" si="10"/>
        <v>0</v>
      </c>
      <c r="L26" s="33"/>
      <c r="M26" s="33"/>
      <c r="N26" s="33"/>
      <c r="O26" s="33"/>
      <c r="P26" s="32">
        <f t="shared" si="9"/>
        <v>0</v>
      </c>
    </row>
    <row r="27" spans="1:16" s="190" customFormat="1" ht="56.25" hidden="1" x14ac:dyDescent="0.3">
      <c r="A27" s="185" t="s">
        <v>113</v>
      </c>
      <c r="B27" s="185" t="s">
        <v>114</v>
      </c>
      <c r="C27" s="186" t="s">
        <v>115</v>
      </c>
      <c r="D27" s="187" t="s">
        <v>116</v>
      </c>
      <c r="E27" s="188">
        <f t="shared" si="0"/>
        <v>0</v>
      </c>
      <c r="F27" s="189"/>
      <c r="G27" s="189"/>
      <c r="H27" s="189"/>
      <c r="I27" s="189"/>
      <c r="J27" s="188">
        <f t="shared" si="2"/>
        <v>0</v>
      </c>
      <c r="K27" s="189">
        <f t="shared" si="10"/>
        <v>0</v>
      </c>
      <c r="L27" s="189"/>
      <c r="M27" s="189"/>
      <c r="N27" s="189"/>
      <c r="O27" s="189"/>
      <c r="P27" s="188">
        <f t="shared" si="9"/>
        <v>0</v>
      </c>
    </row>
    <row r="28" spans="1:16" s="190" customFormat="1" ht="37.5" hidden="1" x14ac:dyDescent="0.3">
      <c r="A28" s="185" t="s">
        <v>117</v>
      </c>
      <c r="B28" s="185" t="s">
        <v>118</v>
      </c>
      <c r="C28" s="186" t="s">
        <v>119</v>
      </c>
      <c r="D28" s="187" t="s">
        <v>120</v>
      </c>
      <c r="E28" s="188">
        <f t="shared" si="0"/>
        <v>0</v>
      </c>
      <c r="F28" s="189"/>
      <c r="G28" s="189"/>
      <c r="H28" s="189"/>
      <c r="I28" s="189"/>
      <c r="J28" s="188">
        <f t="shared" si="2"/>
        <v>0</v>
      </c>
      <c r="K28" s="189">
        <f t="shared" si="10"/>
        <v>0</v>
      </c>
      <c r="L28" s="189"/>
      <c r="M28" s="189"/>
      <c r="N28" s="189"/>
      <c r="O28" s="189"/>
      <c r="P28" s="188">
        <f t="shared" si="9"/>
        <v>0</v>
      </c>
    </row>
    <row r="29" spans="1:16" ht="168.75" x14ac:dyDescent="0.3">
      <c r="A29" s="29" t="s">
        <v>509</v>
      </c>
      <c r="B29" s="29">
        <v>6088</v>
      </c>
      <c r="C29" s="30">
        <v>610</v>
      </c>
      <c r="D29" s="31" t="s">
        <v>510</v>
      </c>
      <c r="E29" s="32">
        <f t="shared" si="0"/>
        <v>660000</v>
      </c>
      <c r="F29" s="33">
        <v>660000</v>
      </c>
      <c r="G29" s="33"/>
      <c r="H29" s="33"/>
      <c r="I29" s="33"/>
      <c r="J29" s="32">
        <f t="shared" si="2"/>
        <v>0</v>
      </c>
      <c r="K29" s="33">
        <f t="shared" si="10"/>
        <v>0</v>
      </c>
      <c r="L29" s="33">
        <v>0</v>
      </c>
      <c r="M29" s="33"/>
      <c r="N29" s="33"/>
      <c r="O29" s="33"/>
      <c r="P29" s="32">
        <f t="shared" si="9"/>
        <v>660000</v>
      </c>
    </row>
    <row r="30" spans="1:16" customFormat="1" ht="37.5" x14ac:dyDescent="0.2">
      <c r="A30" s="29" t="s">
        <v>124</v>
      </c>
      <c r="B30" s="29" t="s">
        <v>125</v>
      </c>
      <c r="C30" s="30" t="s">
        <v>126</v>
      </c>
      <c r="D30" s="31" t="s">
        <v>127</v>
      </c>
      <c r="E30" s="32">
        <f t="shared" si="0"/>
        <v>420000</v>
      </c>
      <c r="F30" s="33">
        <v>420000</v>
      </c>
      <c r="G30" s="33"/>
      <c r="H30" s="33"/>
      <c r="I30" s="33"/>
      <c r="J30" s="32">
        <f t="shared" si="2"/>
        <v>0</v>
      </c>
      <c r="K30" s="33">
        <f t="shared" si="10"/>
        <v>0</v>
      </c>
      <c r="L30" s="33"/>
      <c r="M30" s="33"/>
      <c r="N30" s="33"/>
      <c r="O30" s="33">
        <v>0</v>
      </c>
      <c r="P30" s="32">
        <f t="shared" si="9"/>
        <v>420000</v>
      </c>
    </row>
    <row r="31" spans="1:16" customFormat="1" ht="93.75" x14ac:dyDescent="0.2">
      <c r="A31" s="29" t="s">
        <v>128</v>
      </c>
      <c r="B31" s="29">
        <v>9800</v>
      </c>
      <c r="C31" s="30" t="s">
        <v>130</v>
      </c>
      <c r="D31" s="31" t="s">
        <v>410</v>
      </c>
      <c r="E31" s="32">
        <f t="shared" si="0"/>
        <v>700000</v>
      </c>
      <c r="F31" s="33">
        <f>650000+50000</f>
        <v>700000</v>
      </c>
      <c r="G31" s="33"/>
      <c r="H31" s="33"/>
      <c r="I31" s="33"/>
      <c r="J31" s="32">
        <f t="shared" si="2"/>
        <v>0</v>
      </c>
      <c r="K31" s="33"/>
      <c r="L31" s="33">
        <v>0</v>
      </c>
      <c r="M31" s="33"/>
      <c r="N31" s="33"/>
      <c r="O31" s="33"/>
      <c r="P31" s="32">
        <f t="shared" si="9"/>
        <v>700000</v>
      </c>
    </row>
    <row r="32" spans="1:16" s="93" customFormat="1" x14ac:dyDescent="0.2">
      <c r="A32" s="29" t="s">
        <v>368</v>
      </c>
      <c r="B32" s="29" t="s">
        <v>184</v>
      </c>
      <c r="C32" s="30" t="s">
        <v>185</v>
      </c>
      <c r="D32" s="31" t="s">
        <v>186</v>
      </c>
      <c r="E32" s="32">
        <f t="shared" si="0"/>
        <v>686674.54999999993</v>
      </c>
      <c r="F32" s="92">
        <f>623371+42118.1+21185.45</f>
        <v>686674.54999999993</v>
      </c>
      <c r="G32" s="92">
        <f>493188+42118.1</f>
        <v>535306.1</v>
      </c>
      <c r="H32" s="92">
        <v>0</v>
      </c>
      <c r="I32" s="92"/>
      <c r="J32" s="32">
        <f t="shared" si="2"/>
        <v>0</v>
      </c>
      <c r="K32" s="92">
        <f t="shared" si="10"/>
        <v>0</v>
      </c>
      <c r="L32" s="92"/>
      <c r="M32" s="92"/>
      <c r="N32" s="92"/>
      <c r="O32" s="92">
        <v>0</v>
      </c>
      <c r="P32" s="32">
        <f t="shared" si="9"/>
        <v>686674.54999999993</v>
      </c>
    </row>
    <row r="33" spans="1:16" s="93" customFormat="1" ht="56.25" x14ac:dyDescent="0.2">
      <c r="A33" s="29" t="s">
        <v>369</v>
      </c>
      <c r="B33" s="29" t="s">
        <v>188</v>
      </c>
      <c r="C33" s="30" t="s">
        <v>189</v>
      </c>
      <c r="D33" s="31" t="s">
        <v>190</v>
      </c>
      <c r="E33" s="32">
        <f t="shared" si="0"/>
        <v>246440</v>
      </c>
      <c r="F33" s="92">
        <v>246440</v>
      </c>
      <c r="G33" s="92">
        <v>202000</v>
      </c>
      <c r="H33" s="92">
        <v>0</v>
      </c>
      <c r="I33" s="92"/>
      <c r="J33" s="32"/>
      <c r="K33" s="92"/>
      <c r="L33" s="92"/>
      <c r="M33" s="92"/>
      <c r="N33" s="92"/>
      <c r="O33" s="92"/>
      <c r="P33" s="32">
        <f t="shared" si="9"/>
        <v>246440</v>
      </c>
    </row>
    <row r="34" spans="1:16" s="93" customFormat="1" x14ac:dyDescent="0.2">
      <c r="A34" s="29" t="s">
        <v>370</v>
      </c>
      <c r="B34" s="29" t="s">
        <v>192</v>
      </c>
      <c r="C34" s="30" t="s">
        <v>193</v>
      </c>
      <c r="D34" s="31" t="s">
        <v>194</v>
      </c>
      <c r="E34" s="32">
        <f t="shared" si="0"/>
        <v>290000</v>
      </c>
      <c r="F34" s="92">
        <v>290000</v>
      </c>
      <c r="G34" s="92"/>
      <c r="H34" s="92"/>
      <c r="I34" s="92"/>
      <c r="J34" s="32"/>
      <c r="K34" s="92"/>
      <c r="L34" s="92"/>
      <c r="M34" s="92"/>
      <c r="N34" s="92"/>
      <c r="O34" s="92"/>
      <c r="P34" s="32">
        <f t="shared" si="9"/>
        <v>290000</v>
      </c>
    </row>
    <row r="35" spans="1:16" s="142" customFormat="1" ht="37.5" x14ac:dyDescent="0.3">
      <c r="A35" s="206" t="s">
        <v>132</v>
      </c>
      <c r="B35" s="207"/>
      <c r="C35" s="208"/>
      <c r="D35" s="209" t="s">
        <v>393</v>
      </c>
      <c r="E35" s="210">
        <f t="shared" si="0"/>
        <v>33616798.299999997</v>
      </c>
      <c r="F35" s="210">
        <f>SUM(F36)</f>
        <v>33616798.299999997</v>
      </c>
      <c r="G35" s="210">
        <f t="shared" ref="G35:I35" si="11">SUM(G36)</f>
        <v>26755709.339999996</v>
      </c>
      <c r="H35" s="210">
        <f t="shared" si="11"/>
        <v>295900</v>
      </c>
      <c r="I35" s="210">
        <f t="shared" si="11"/>
        <v>0</v>
      </c>
      <c r="J35" s="210">
        <f t="shared" si="2"/>
        <v>0</v>
      </c>
      <c r="K35" s="210">
        <f t="shared" ref="K35:O35" si="12">SUM(K36)</f>
        <v>0</v>
      </c>
      <c r="L35" s="210">
        <f t="shared" si="12"/>
        <v>0</v>
      </c>
      <c r="M35" s="210">
        <f t="shared" si="12"/>
        <v>0</v>
      </c>
      <c r="N35" s="210">
        <f t="shared" si="12"/>
        <v>0</v>
      </c>
      <c r="O35" s="210">
        <f t="shared" si="12"/>
        <v>0</v>
      </c>
      <c r="P35" s="210">
        <f t="shared" si="9"/>
        <v>33616798.299999997</v>
      </c>
    </row>
    <row r="36" spans="1:16" x14ac:dyDescent="0.3">
      <c r="A36" s="34" t="s">
        <v>133</v>
      </c>
      <c r="B36" s="35"/>
      <c r="C36" s="36"/>
      <c r="D36" s="37"/>
      <c r="E36" s="38">
        <f>SUM(F36+I36)</f>
        <v>33616798.299999997</v>
      </c>
      <c r="F36" s="39">
        <f>SUM(F37:F61)</f>
        <v>33616798.299999997</v>
      </c>
      <c r="G36" s="39">
        <f>SUM(G37:G61)</f>
        <v>26755709.339999996</v>
      </c>
      <c r="H36" s="39">
        <f t="shared" ref="H36:I36" si="13">SUM(H37:H58)</f>
        <v>295900</v>
      </c>
      <c r="I36" s="39">
        <f t="shared" si="13"/>
        <v>0</v>
      </c>
      <c r="J36" s="38">
        <f>SUM(L36+O36)</f>
        <v>0</v>
      </c>
      <c r="K36" s="39">
        <f>SUM(K37:K59)</f>
        <v>0</v>
      </c>
      <c r="L36" s="39">
        <f>SUM(L37:L60)</f>
        <v>0</v>
      </c>
      <c r="M36" s="39">
        <f>SUM(M37:M60)</f>
        <v>0</v>
      </c>
      <c r="N36" s="39">
        <f t="shared" ref="N36" si="14">SUM(N37:N58)</f>
        <v>0</v>
      </c>
      <c r="O36" s="39">
        <f>SUM(O37:O59)</f>
        <v>0</v>
      </c>
      <c r="P36" s="38">
        <f t="shared" si="9"/>
        <v>33616798.299999997</v>
      </c>
    </row>
    <row r="37" spans="1:16" ht="56.25" x14ac:dyDescent="0.3">
      <c r="A37" s="29" t="s">
        <v>134</v>
      </c>
      <c r="B37" s="29" t="s">
        <v>135</v>
      </c>
      <c r="C37" s="30" t="s">
        <v>102</v>
      </c>
      <c r="D37" s="31" t="s">
        <v>103</v>
      </c>
      <c r="E37" s="32">
        <f t="shared" si="0"/>
        <v>4359680.6399999997</v>
      </c>
      <c r="F37" s="33">
        <f>3418625+752097+43860+74000+34939.42+36159.22</f>
        <v>4359680.6399999997</v>
      </c>
      <c r="G37" s="33">
        <v>3418625</v>
      </c>
      <c r="H37" s="33"/>
      <c r="I37" s="33"/>
      <c r="J37" s="32">
        <f t="shared" si="2"/>
        <v>0</v>
      </c>
      <c r="K37" s="33">
        <f t="shared" ref="K37:K58" si="15">SUM(O37)</f>
        <v>0</v>
      </c>
      <c r="L37" s="33"/>
      <c r="M37" s="33"/>
      <c r="N37" s="33"/>
      <c r="O37" s="33"/>
      <c r="P37" s="32">
        <f t="shared" si="9"/>
        <v>4359680.6399999997</v>
      </c>
    </row>
    <row r="38" spans="1:16" x14ac:dyDescent="0.3">
      <c r="A38" s="29" t="s">
        <v>136</v>
      </c>
      <c r="B38" s="29" t="s">
        <v>137</v>
      </c>
      <c r="C38" s="30" t="s">
        <v>138</v>
      </c>
      <c r="D38" s="31" t="s">
        <v>139</v>
      </c>
      <c r="E38" s="32">
        <f t="shared" si="0"/>
        <v>2126903.6800000002</v>
      </c>
      <c r="F38" s="33">
        <f>1356060+298333+102700+303123.34+66687.34</f>
        <v>2126903.6800000002</v>
      </c>
      <c r="G38" s="33">
        <f>1356060+303123.34</f>
        <v>1659183.34</v>
      </c>
      <c r="H38" s="33">
        <v>102700</v>
      </c>
      <c r="I38" s="33"/>
      <c r="J38" s="32">
        <f t="shared" si="2"/>
        <v>0</v>
      </c>
      <c r="K38" s="33">
        <f t="shared" si="15"/>
        <v>0</v>
      </c>
      <c r="L38" s="33"/>
      <c r="M38" s="33"/>
      <c r="N38" s="33"/>
      <c r="O38" s="33"/>
      <c r="P38" s="32">
        <f t="shared" si="9"/>
        <v>2126903.6800000002</v>
      </c>
    </row>
    <row r="39" spans="1:16" s="70" customFormat="1" ht="56.25" x14ac:dyDescent="0.3">
      <c r="A39" s="89" t="s">
        <v>140</v>
      </c>
      <c r="B39" s="89" t="s">
        <v>141</v>
      </c>
      <c r="C39" s="90" t="s">
        <v>142</v>
      </c>
      <c r="D39" s="91" t="s">
        <v>302</v>
      </c>
      <c r="E39" s="32">
        <f t="shared" si="0"/>
        <v>4194723.3000000007</v>
      </c>
      <c r="F39" s="92">
        <f>2148394+472647+65045+312899+35000+193200+16000+751490.03+165327.49-1810-36159.22+72690</f>
        <v>4194723.3000000007</v>
      </c>
      <c r="G39" s="92">
        <f>2148394+751490.03</f>
        <v>2899884.0300000003</v>
      </c>
      <c r="H39" s="92">
        <v>193200</v>
      </c>
      <c r="I39" s="92"/>
      <c r="J39" s="32">
        <f t="shared" si="2"/>
        <v>0</v>
      </c>
      <c r="K39" s="92">
        <f t="shared" si="15"/>
        <v>0</v>
      </c>
      <c r="L39" s="92"/>
      <c r="M39" s="92"/>
      <c r="N39" s="92"/>
      <c r="O39" s="92"/>
      <c r="P39" s="32">
        <f t="shared" si="9"/>
        <v>4194723.3000000007</v>
      </c>
    </row>
    <row r="40" spans="1:16" ht="56.25" x14ac:dyDescent="0.3">
      <c r="A40" s="29" t="s">
        <v>144</v>
      </c>
      <c r="B40" s="29" t="s">
        <v>145</v>
      </c>
      <c r="C40" s="30" t="s">
        <v>142</v>
      </c>
      <c r="D40" s="31" t="s">
        <v>303</v>
      </c>
      <c r="E40" s="32">
        <f t="shared" si="0"/>
        <v>19506700</v>
      </c>
      <c r="F40" s="33">
        <f>9853770.49+2167829.51+7485100</f>
        <v>19506700</v>
      </c>
      <c r="G40" s="33">
        <f>9853770.49+6135327.87</f>
        <v>15989098.359999999</v>
      </c>
      <c r="H40" s="33"/>
      <c r="I40" s="33"/>
      <c r="J40" s="32">
        <f t="shared" si="2"/>
        <v>0</v>
      </c>
      <c r="K40" s="33">
        <f t="shared" si="15"/>
        <v>0</v>
      </c>
      <c r="L40" s="33"/>
      <c r="M40" s="33"/>
      <c r="N40" s="33"/>
      <c r="O40" s="33"/>
      <c r="P40" s="32">
        <f t="shared" si="9"/>
        <v>19506700</v>
      </c>
    </row>
    <row r="41" spans="1:16" ht="56.25" x14ac:dyDescent="0.3">
      <c r="A41" s="29" t="s">
        <v>146</v>
      </c>
      <c r="B41" s="29" t="s">
        <v>147</v>
      </c>
      <c r="C41" s="30" t="s">
        <v>148</v>
      </c>
      <c r="D41" s="31" t="s">
        <v>409</v>
      </c>
      <c r="E41" s="32">
        <f t="shared" si="0"/>
        <v>2129480.6800000002</v>
      </c>
      <c r="F41" s="33">
        <f>1232645+271182+512830.97+112822.71</f>
        <v>2129480.6800000002</v>
      </c>
      <c r="G41" s="33">
        <f>1232645+512830.97</f>
        <v>1745475.97</v>
      </c>
      <c r="H41" s="33"/>
      <c r="I41" s="33"/>
      <c r="J41" s="32">
        <f t="shared" si="2"/>
        <v>0</v>
      </c>
      <c r="K41" s="33">
        <f t="shared" si="15"/>
        <v>0</v>
      </c>
      <c r="L41" s="33"/>
      <c r="M41" s="33"/>
      <c r="N41" s="33"/>
      <c r="O41" s="33"/>
      <c r="P41" s="32">
        <f t="shared" si="9"/>
        <v>2129480.6800000002</v>
      </c>
    </row>
    <row r="42" spans="1:16" customFormat="1" ht="13.9" hidden="1" customHeight="1" x14ac:dyDescent="0.2">
      <c r="A42" s="2" t="s">
        <v>149</v>
      </c>
      <c r="B42" s="2" t="s">
        <v>150</v>
      </c>
      <c r="C42" s="3" t="s">
        <v>151</v>
      </c>
      <c r="D42" s="4" t="s">
        <v>408</v>
      </c>
      <c r="E42" s="5">
        <f t="shared" si="0"/>
        <v>0</v>
      </c>
      <c r="F42" s="6"/>
      <c r="G42" s="6"/>
      <c r="H42" s="6"/>
      <c r="I42" s="6"/>
      <c r="J42" s="5">
        <f t="shared" si="2"/>
        <v>0</v>
      </c>
      <c r="K42" s="6">
        <f t="shared" si="15"/>
        <v>0</v>
      </c>
      <c r="L42" s="6"/>
      <c r="M42" s="6"/>
      <c r="N42" s="6"/>
      <c r="O42" s="6"/>
      <c r="P42" s="5">
        <f t="shared" si="9"/>
        <v>0</v>
      </c>
    </row>
    <row r="43" spans="1:16" customFormat="1" ht="76.5" hidden="1" customHeight="1" x14ac:dyDescent="0.2">
      <c r="A43" s="29" t="s">
        <v>153</v>
      </c>
      <c r="B43" s="29" t="s">
        <v>154</v>
      </c>
      <c r="C43" s="30" t="s">
        <v>151</v>
      </c>
      <c r="D43" s="31" t="s">
        <v>155</v>
      </c>
      <c r="E43" s="32">
        <f t="shared" si="0"/>
        <v>0</v>
      </c>
      <c r="F43" s="33">
        <v>0</v>
      </c>
      <c r="G43" s="33">
        <v>0</v>
      </c>
      <c r="H43" s="33"/>
      <c r="I43" s="33"/>
      <c r="J43" s="32">
        <f t="shared" si="2"/>
        <v>0</v>
      </c>
      <c r="K43" s="33">
        <f t="shared" si="15"/>
        <v>0</v>
      </c>
      <c r="L43" s="33"/>
      <c r="M43" s="33"/>
      <c r="N43" s="33"/>
      <c r="O43" s="33"/>
      <c r="P43" s="32">
        <f t="shared" si="9"/>
        <v>0</v>
      </c>
    </row>
    <row r="44" spans="1:16" customFormat="1" ht="38.25" hidden="1" x14ac:dyDescent="0.2">
      <c r="A44" s="2" t="s">
        <v>156</v>
      </c>
      <c r="B44" s="2" t="s">
        <v>157</v>
      </c>
      <c r="C44" s="3" t="s">
        <v>151</v>
      </c>
      <c r="D44" s="4" t="s">
        <v>158</v>
      </c>
      <c r="E44" s="5">
        <f t="shared" si="0"/>
        <v>0</v>
      </c>
      <c r="F44" s="6"/>
      <c r="G44" s="6"/>
      <c r="H44" s="6"/>
      <c r="I44" s="6"/>
      <c r="J44" s="5">
        <f t="shared" si="2"/>
        <v>0</v>
      </c>
      <c r="K44" s="6">
        <f t="shared" si="15"/>
        <v>0</v>
      </c>
      <c r="L44" s="6"/>
      <c r="M44" s="6"/>
      <c r="N44" s="6"/>
      <c r="O44" s="6"/>
      <c r="P44" s="5">
        <f t="shared" si="9"/>
        <v>0</v>
      </c>
    </row>
    <row r="45" spans="1:16" customFormat="1" ht="12.75" hidden="1" x14ac:dyDescent="0.2">
      <c r="A45" s="2" t="s">
        <v>159</v>
      </c>
      <c r="B45" s="2" t="s">
        <v>160</v>
      </c>
      <c r="C45" s="3" t="s">
        <v>161</v>
      </c>
      <c r="D45" s="4" t="s">
        <v>162</v>
      </c>
      <c r="E45" s="5">
        <f t="shared" si="0"/>
        <v>0</v>
      </c>
      <c r="F45" s="6"/>
      <c r="G45" s="6"/>
      <c r="H45" s="6"/>
      <c r="I45" s="6"/>
      <c r="J45" s="5">
        <f t="shared" si="2"/>
        <v>0</v>
      </c>
      <c r="K45" s="6">
        <f t="shared" si="15"/>
        <v>0</v>
      </c>
      <c r="L45" s="6"/>
      <c r="M45" s="6"/>
      <c r="N45" s="6"/>
      <c r="O45" s="6"/>
      <c r="P45" s="5">
        <f t="shared" si="9"/>
        <v>0</v>
      </c>
    </row>
    <row r="46" spans="1:16" customFormat="1" ht="93.75" hidden="1" x14ac:dyDescent="0.2">
      <c r="A46" s="29" t="s">
        <v>156</v>
      </c>
      <c r="B46" s="29" t="s">
        <v>157</v>
      </c>
      <c r="C46" s="30" t="s">
        <v>151</v>
      </c>
      <c r="D46" s="31" t="s">
        <v>362</v>
      </c>
      <c r="E46" s="32">
        <f t="shared" ref="E46" si="16">SUM(F46+I46)</f>
        <v>0</v>
      </c>
      <c r="F46" s="33">
        <v>0</v>
      </c>
      <c r="G46" s="6"/>
      <c r="H46" s="6"/>
      <c r="I46" s="6"/>
      <c r="J46" s="5"/>
      <c r="K46" s="6"/>
      <c r="L46" s="6"/>
      <c r="M46" s="6"/>
      <c r="N46" s="6"/>
      <c r="O46" s="6"/>
      <c r="P46" s="32">
        <f t="shared" si="9"/>
        <v>0</v>
      </c>
    </row>
    <row r="47" spans="1:16" ht="56.25" hidden="1" x14ac:dyDescent="0.3">
      <c r="A47" s="29" t="s">
        <v>163</v>
      </c>
      <c r="B47" s="29" t="s">
        <v>164</v>
      </c>
      <c r="C47" s="30" t="s">
        <v>165</v>
      </c>
      <c r="D47" s="31" t="s">
        <v>166</v>
      </c>
      <c r="E47" s="32">
        <f t="shared" si="0"/>
        <v>0</v>
      </c>
      <c r="F47" s="33">
        <v>0</v>
      </c>
      <c r="G47" s="33"/>
      <c r="H47" s="33">
        <v>0</v>
      </c>
      <c r="I47" s="33"/>
      <c r="J47" s="32">
        <f t="shared" si="2"/>
        <v>0</v>
      </c>
      <c r="K47" s="33">
        <f t="shared" si="15"/>
        <v>0</v>
      </c>
      <c r="L47" s="33"/>
      <c r="M47" s="33"/>
      <c r="N47" s="33"/>
      <c r="O47" s="33"/>
      <c r="P47" s="32">
        <f t="shared" si="9"/>
        <v>0</v>
      </c>
    </row>
    <row r="48" spans="1:16" customFormat="1" ht="12.75" hidden="1" x14ac:dyDescent="0.2">
      <c r="A48" s="2" t="s">
        <v>167</v>
      </c>
      <c r="B48" s="2" t="s">
        <v>168</v>
      </c>
      <c r="C48" s="3" t="s">
        <v>169</v>
      </c>
      <c r="D48" s="4" t="s">
        <v>170</v>
      </c>
      <c r="E48" s="5">
        <f t="shared" si="0"/>
        <v>0</v>
      </c>
      <c r="F48" s="6"/>
      <c r="G48" s="6"/>
      <c r="H48" s="6"/>
      <c r="I48" s="6"/>
      <c r="J48" s="5">
        <f t="shared" si="2"/>
        <v>0</v>
      </c>
      <c r="K48" s="6">
        <f t="shared" si="15"/>
        <v>0</v>
      </c>
      <c r="L48" s="6"/>
      <c r="M48" s="6"/>
      <c r="N48" s="6"/>
      <c r="O48" s="6"/>
      <c r="P48" s="5">
        <f t="shared" si="9"/>
        <v>0</v>
      </c>
    </row>
    <row r="49" spans="1:16" customFormat="1" ht="12.75" hidden="1" x14ac:dyDescent="0.2">
      <c r="A49" s="2" t="s">
        <v>171</v>
      </c>
      <c r="B49" s="2" t="s">
        <v>172</v>
      </c>
      <c r="C49" s="3" t="s">
        <v>169</v>
      </c>
      <c r="D49" s="4" t="s">
        <v>173</v>
      </c>
      <c r="E49" s="5">
        <f t="shared" si="0"/>
        <v>0</v>
      </c>
      <c r="F49" s="6"/>
      <c r="G49" s="6"/>
      <c r="H49" s="6"/>
      <c r="I49" s="6"/>
      <c r="J49" s="5">
        <f t="shared" si="2"/>
        <v>0</v>
      </c>
      <c r="K49" s="6">
        <f t="shared" si="15"/>
        <v>0</v>
      </c>
      <c r="L49" s="6"/>
      <c r="M49" s="6"/>
      <c r="N49" s="6"/>
      <c r="O49" s="6"/>
      <c r="P49" s="5">
        <f t="shared" si="9"/>
        <v>0</v>
      </c>
    </row>
    <row r="50" spans="1:16" customFormat="1" ht="12.75" hidden="1" x14ac:dyDescent="0.2">
      <c r="A50" s="2" t="s">
        <v>174</v>
      </c>
      <c r="B50" s="2" t="s">
        <v>175</v>
      </c>
      <c r="C50" s="3" t="s">
        <v>169</v>
      </c>
      <c r="D50" s="4" t="s">
        <v>176</v>
      </c>
      <c r="E50" s="5">
        <f t="shared" si="0"/>
        <v>0</v>
      </c>
      <c r="F50" s="6"/>
      <c r="G50" s="6"/>
      <c r="H50" s="6"/>
      <c r="I50" s="6"/>
      <c r="J50" s="5">
        <f t="shared" si="2"/>
        <v>0</v>
      </c>
      <c r="K50" s="6">
        <f t="shared" si="15"/>
        <v>0</v>
      </c>
      <c r="L50" s="6"/>
      <c r="M50" s="6"/>
      <c r="N50" s="6"/>
      <c r="O50" s="6"/>
      <c r="P50" s="5">
        <f t="shared" si="9"/>
        <v>0</v>
      </c>
    </row>
    <row r="51" spans="1:16" customFormat="1" ht="25.5" hidden="1" x14ac:dyDescent="0.2">
      <c r="A51" s="2" t="s">
        <v>177</v>
      </c>
      <c r="B51" s="2" t="s">
        <v>178</v>
      </c>
      <c r="C51" s="3" t="s">
        <v>169</v>
      </c>
      <c r="D51" s="4" t="s">
        <v>179</v>
      </c>
      <c r="E51" s="5">
        <f t="shared" si="0"/>
        <v>0</v>
      </c>
      <c r="F51" s="6"/>
      <c r="G51" s="6"/>
      <c r="H51" s="6"/>
      <c r="I51" s="6"/>
      <c r="J51" s="5">
        <f t="shared" si="2"/>
        <v>0</v>
      </c>
      <c r="K51" s="6">
        <f t="shared" si="15"/>
        <v>0</v>
      </c>
      <c r="L51" s="6"/>
      <c r="M51" s="6"/>
      <c r="N51" s="6"/>
      <c r="O51" s="6"/>
      <c r="P51" s="5">
        <f t="shared" si="9"/>
        <v>0</v>
      </c>
    </row>
    <row r="52" spans="1:16" s="88" customFormat="1" ht="37.5" hidden="1" x14ac:dyDescent="0.2">
      <c r="A52" s="89" t="s">
        <v>180</v>
      </c>
      <c r="B52" s="89" t="s">
        <v>181</v>
      </c>
      <c r="C52" s="90" t="s">
        <v>169</v>
      </c>
      <c r="D52" s="91" t="s">
        <v>182</v>
      </c>
      <c r="E52" s="32">
        <f t="shared" si="0"/>
        <v>0</v>
      </c>
      <c r="F52" s="33">
        <v>0</v>
      </c>
      <c r="G52" s="33"/>
      <c r="H52" s="33"/>
      <c r="I52" s="33"/>
      <c r="J52" s="32">
        <f t="shared" si="2"/>
        <v>0</v>
      </c>
      <c r="K52" s="33">
        <f t="shared" si="15"/>
        <v>0</v>
      </c>
      <c r="L52" s="33"/>
      <c r="M52" s="33"/>
      <c r="N52" s="33"/>
      <c r="O52" s="33"/>
      <c r="P52" s="32">
        <f t="shared" si="9"/>
        <v>0</v>
      </c>
    </row>
    <row r="53" spans="1:16" s="88" customFormat="1" ht="37.5" hidden="1" x14ac:dyDescent="0.2">
      <c r="A53" s="155" t="s">
        <v>167</v>
      </c>
      <c r="B53" s="89">
        <v>2141</v>
      </c>
      <c r="C53" s="90" t="s">
        <v>169</v>
      </c>
      <c r="D53" s="91" t="s">
        <v>170</v>
      </c>
      <c r="E53" s="32">
        <f t="shared" si="0"/>
        <v>0</v>
      </c>
      <c r="F53" s="33">
        <v>0</v>
      </c>
      <c r="G53" s="33"/>
      <c r="H53" s="33"/>
      <c r="I53" s="33"/>
      <c r="J53" s="32"/>
      <c r="K53" s="33"/>
      <c r="L53" s="33"/>
      <c r="M53" s="33"/>
      <c r="N53" s="33"/>
      <c r="O53" s="33"/>
      <c r="P53" s="32"/>
    </row>
    <row r="54" spans="1:16" s="88" customFormat="1" ht="37.5" hidden="1" x14ac:dyDescent="0.2">
      <c r="A54" s="155" t="s">
        <v>171</v>
      </c>
      <c r="B54" s="89">
        <v>2142</v>
      </c>
      <c r="C54" s="90" t="s">
        <v>169</v>
      </c>
      <c r="D54" s="91" t="s">
        <v>173</v>
      </c>
      <c r="E54" s="32">
        <f t="shared" si="0"/>
        <v>0</v>
      </c>
      <c r="F54" s="33">
        <v>0</v>
      </c>
      <c r="G54" s="33"/>
      <c r="H54" s="33"/>
      <c r="I54" s="33"/>
      <c r="J54" s="32"/>
      <c r="K54" s="33"/>
      <c r="L54" s="33"/>
      <c r="M54" s="33"/>
      <c r="N54" s="33"/>
      <c r="O54" s="33"/>
      <c r="P54" s="32"/>
    </row>
    <row r="55" spans="1:16" hidden="1" x14ac:dyDescent="0.3">
      <c r="A55" s="29" t="s">
        <v>183</v>
      </c>
      <c r="B55" s="29" t="s">
        <v>184</v>
      </c>
      <c r="C55" s="30" t="s">
        <v>185</v>
      </c>
      <c r="D55" s="31" t="s">
        <v>186</v>
      </c>
      <c r="E55" s="32">
        <f t="shared" si="0"/>
        <v>0</v>
      </c>
      <c r="F55" s="33">
        <v>0</v>
      </c>
      <c r="G55" s="33">
        <v>0</v>
      </c>
      <c r="H55" s="33">
        <v>0</v>
      </c>
      <c r="I55" s="33"/>
      <c r="J55" s="32">
        <f t="shared" si="2"/>
        <v>0</v>
      </c>
      <c r="K55" s="33">
        <f t="shared" si="15"/>
        <v>0</v>
      </c>
      <c r="L55" s="33"/>
      <c r="M55" s="33"/>
      <c r="N55" s="33"/>
      <c r="O55" s="33"/>
      <c r="P55" s="32">
        <f t="shared" si="9"/>
        <v>0</v>
      </c>
    </row>
    <row r="56" spans="1:16" ht="56.25" hidden="1" x14ac:dyDescent="0.3">
      <c r="A56" s="29" t="s">
        <v>187</v>
      </c>
      <c r="B56" s="29" t="s">
        <v>188</v>
      </c>
      <c r="C56" s="30" t="s">
        <v>189</v>
      </c>
      <c r="D56" s="31" t="s">
        <v>190</v>
      </c>
      <c r="E56" s="32">
        <f t="shared" si="0"/>
        <v>0</v>
      </c>
      <c r="F56" s="33">
        <v>0</v>
      </c>
      <c r="G56" s="33">
        <v>0</v>
      </c>
      <c r="H56" s="33">
        <v>0</v>
      </c>
      <c r="I56" s="33"/>
      <c r="J56" s="32">
        <f t="shared" si="2"/>
        <v>0</v>
      </c>
      <c r="K56" s="33">
        <f t="shared" si="15"/>
        <v>0</v>
      </c>
      <c r="L56" s="33"/>
      <c r="M56" s="33"/>
      <c r="N56" s="33"/>
      <c r="O56" s="33"/>
      <c r="P56" s="32">
        <f t="shared" si="9"/>
        <v>0</v>
      </c>
    </row>
    <row r="57" spans="1:16" hidden="1" x14ac:dyDescent="0.3">
      <c r="A57" s="29" t="s">
        <v>191</v>
      </c>
      <c r="B57" s="29" t="s">
        <v>192</v>
      </c>
      <c r="C57" s="30" t="s">
        <v>193</v>
      </c>
      <c r="D57" s="31" t="s">
        <v>194</v>
      </c>
      <c r="E57" s="32">
        <f t="shared" si="0"/>
        <v>0</v>
      </c>
      <c r="F57" s="33">
        <v>0</v>
      </c>
      <c r="G57" s="33"/>
      <c r="H57" s="33"/>
      <c r="I57" s="33"/>
      <c r="J57" s="32">
        <f t="shared" si="2"/>
        <v>0</v>
      </c>
      <c r="K57" s="33">
        <f t="shared" si="15"/>
        <v>0</v>
      </c>
      <c r="L57" s="33"/>
      <c r="M57" s="33"/>
      <c r="N57" s="33"/>
      <c r="O57" s="33"/>
      <c r="P57" s="32">
        <f t="shared" si="9"/>
        <v>0</v>
      </c>
    </row>
    <row r="58" spans="1:16" ht="37.5" hidden="1" x14ac:dyDescent="0.3">
      <c r="A58" s="29" t="s">
        <v>350</v>
      </c>
      <c r="B58" s="29">
        <v>8110</v>
      </c>
      <c r="C58" s="30" t="s">
        <v>126</v>
      </c>
      <c r="D58" s="31" t="s">
        <v>127</v>
      </c>
      <c r="E58" s="32">
        <f t="shared" si="0"/>
        <v>0</v>
      </c>
      <c r="F58" s="33">
        <v>0</v>
      </c>
      <c r="G58" s="33"/>
      <c r="H58" s="33"/>
      <c r="I58" s="33"/>
      <c r="J58" s="32">
        <f t="shared" si="2"/>
        <v>0</v>
      </c>
      <c r="K58" s="33">
        <f t="shared" si="15"/>
        <v>0</v>
      </c>
      <c r="L58" s="33"/>
      <c r="M58" s="33"/>
      <c r="N58" s="33"/>
      <c r="O58" s="33">
        <v>0</v>
      </c>
      <c r="P58" s="32">
        <f t="shared" si="9"/>
        <v>0</v>
      </c>
    </row>
    <row r="59" spans="1:16" ht="112.5" x14ac:dyDescent="0.3">
      <c r="A59" s="139" t="s">
        <v>153</v>
      </c>
      <c r="B59" s="29">
        <v>1200</v>
      </c>
      <c r="C59" s="139" t="s">
        <v>151</v>
      </c>
      <c r="D59" s="31" t="s">
        <v>391</v>
      </c>
      <c r="E59" s="32">
        <f t="shared" ref="E59:E61" si="17">SUM(F59+I59)</f>
        <v>10500</v>
      </c>
      <c r="F59" s="33">
        <f>8606.56+1893.44</f>
        <v>10500</v>
      </c>
      <c r="G59" s="33">
        <v>8606.56</v>
      </c>
      <c r="H59" s="33"/>
      <c r="I59" s="33"/>
      <c r="J59" s="32">
        <f t="shared" ref="J59:J61" si="18">SUM(L59+O59)</f>
        <v>0</v>
      </c>
      <c r="K59" s="33">
        <f t="shared" ref="K59:K61" si="19">SUM(O59)</f>
        <v>0</v>
      </c>
      <c r="L59" s="33"/>
      <c r="M59" s="33"/>
      <c r="N59" s="33"/>
      <c r="O59" s="33">
        <v>0</v>
      </c>
      <c r="P59" s="32">
        <f t="shared" ref="P59:P61" si="20">E59+J59</f>
        <v>10500</v>
      </c>
    </row>
    <row r="60" spans="1:16" x14ac:dyDescent="0.3">
      <c r="A60" s="139" t="s">
        <v>149</v>
      </c>
      <c r="B60" s="29">
        <v>1142</v>
      </c>
      <c r="C60" s="139" t="s">
        <v>151</v>
      </c>
      <c r="D60" s="31" t="s">
        <v>152</v>
      </c>
      <c r="E60" s="32">
        <f>F60</f>
        <v>26310</v>
      </c>
      <c r="F60" s="33">
        <f>24500+1810</f>
        <v>26310</v>
      </c>
      <c r="G60" s="33"/>
      <c r="H60" s="33"/>
      <c r="I60" s="33"/>
      <c r="J60" s="32">
        <f t="shared" si="18"/>
        <v>0</v>
      </c>
      <c r="K60" s="33">
        <v>0</v>
      </c>
      <c r="L60" s="33">
        <v>0</v>
      </c>
      <c r="M60" s="33">
        <v>0</v>
      </c>
      <c r="N60" s="33"/>
      <c r="O60" s="33"/>
      <c r="P60" s="32">
        <f t="shared" si="20"/>
        <v>26310</v>
      </c>
    </row>
    <row r="61" spans="1:16" ht="75" x14ac:dyDescent="0.3">
      <c r="A61" s="139" t="s">
        <v>389</v>
      </c>
      <c r="B61" s="29">
        <v>1600</v>
      </c>
      <c r="C61" s="139" t="s">
        <v>151</v>
      </c>
      <c r="D61" s="138" t="s">
        <v>390</v>
      </c>
      <c r="E61" s="32">
        <f t="shared" si="17"/>
        <v>1262500</v>
      </c>
      <c r="F61" s="33">
        <v>1262500</v>
      </c>
      <c r="G61" s="33">
        <v>1034836.08</v>
      </c>
      <c r="H61" s="33"/>
      <c r="I61" s="33"/>
      <c r="J61" s="32">
        <f t="shared" si="18"/>
        <v>0</v>
      </c>
      <c r="K61" s="33">
        <f t="shared" si="19"/>
        <v>0</v>
      </c>
      <c r="L61" s="33">
        <v>0</v>
      </c>
      <c r="M61" s="33"/>
      <c r="N61" s="33"/>
      <c r="O61" s="33">
        <v>0</v>
      </c>
      <c r="P61" s="32">
        <f t="shared" si="20"/>
        <v>1262500</v>
      </c>
    </row>
    <row r="62" spans="1:16" ht="56.25" x14ac:dyDescent="0.3">
      <c r="A62" s="34" t="s">
        <v>195</v>
      </c>
      <c r="B62" s="35"/>
      <c r="C62" s="36"/>
      <c r="D62" s="37" t="s">
        <v>396</v>
      </c>
      <c r="E62" s="38">
        <f t="shared" si="0"/>
        <v>10590561.67</v>
      </c>
      <c r="F62" s="39">
        <f>SUM(F63)</f>
        <v>10590561.67</v>
      </c>
      <c r="G62" s="39">
        <f t="shared" ref="G62:I62" si="21">SUM(G63)</f>
        <v>6242563.5999999996</v>
      </c>
      <c r="H62" s="39">
        <f t="shared" si="21"/>
        <v>0</v>
      </c>
      <c r="I62" s="39">
        <f t="shared" si="21"/>
        <v>0</v>
      </c>
      <c r="J62" s="38">
        <f t="shared" si="2"/>
        <v>0</v>
      </c>
      <c r="K62" s="39">
        <f t="shared" ref="K62:O62" si="22">SUM(K63)</f>
        <v>0</v>
      </c>
      <c r="L62" s="39">
        <f t="shared" si="22"/>
        <v>0</v>
      </c>
      <c r="M62" s="39">
        <f t="shared" si="22"/>
        <v>0</v>
      </c>
      <c r="N62" s="39">
        <f t="shared" si="22"/>
        <v>0</v>
      </c>
      <c r="O62" s="39">
        <f t="shared" si="22"/>
        <v>0</v>
      </c>
      <c r="P62" s="38">
        <f t="shared" si="9"/>
        <v>10590561.67</v>
      </c>
    </row>
    <row r="63" spans="1:16" x14ac:dyDescent="0.3">
      <c r="A63" s="34" t="s">
        <v>196</v>
      </c>
      <c r="B63" s="35"/>
      <c r="C63" s="36"/>
      <c r="D63" s="37" t="s">
        <v>101</v>
      </c>
      <c r="E63" s="38">
        <f t="shared" si="0"/>
        <v>10590561.67</v>
      </c>
      <c r="F63" s="39">
        <f>SUM(F64:F73)</f>
        <v>10590561.67</v>
      </c>
      <c r="G63" s="39">
        <f>SUM(G64:G73)</f>
        <v>6242563.5999999996</v>
      </c>
      <c r="H63" s="39">
        <f t="shared" ref="H63:I63" si="23">SUM(H64:H73)</f>
        <v>0</v>
      </c>
      <c r="I63" s="39">
        <f t="shared" si="23"/>
        <v>0</v>
      </c>
      <c r="J63" s="38">
        <f t="shared" si="2"/>
        <v>0</v>
      </c>
      <c r="K63" s="39">
        <f t="shared" ref="K63:O63" si="24">SUM(K64:K73)</f>
        <v>0</v>
      </c>
      <c r="L63" s="39">
        <f t="shared" si="24"/>
        <v>0</v>
      </c>
      <c r="M63" s="39">
        <f t="shared" si="24"/>
        <v>0</v>
      </c>
      <c r="N63" s="39">
        <f t="shared" si="24"/>
        <v>0</v>
      </c>
      <c r="O63" s="39">
        <f t="shared" si="24"/>
        <v>0</v>
      </c>
      <c r="P63" s="38">
        <f t="shared" si="9"/>
        <v>10590561.67</v>
      </c>
    </row>
    <row r="64" spans="1:16" ht="56.25" x14ac:dyDescent="0.3">
      <c r="A64" s="29" t="s">
        <v>197</v>
      </c>
      <c r="B64" s="29" t="s">
        <v>135</v>
      </c>
      <c r="C64" s="30" t="s">
        <v>102</v>
      </c>
      <c r="D64" s="31" t="s">
        <v>103</v>
      </c>
      <c r="E64" s="32">
        <f t="shared" si="0"/>
        <v>3893142</v>
      </c>
      <c r="F64" s="33">
        <f>3184536+644806+25000+38800</f>
        <v>3893142</v>
      </c>
      <c r="G64" s="33">
        <v>3184536</v>
      </c>
      <c r="H64" s="33"/>
      <c r="I64" s="33"/>
      <c r="J64" s="32">
        <f t="shared" si="2"/>
        <v>0</v>
      </c>
      <c r="K64" s="33">
        <f t="shared" ref="K64:K73" si="25">SUM(O64)</f>
        <v>0</v>
      </c>
      <c r="L64" s="33"/>
      <c r="M64" s="33"/>
      <c r="N64" s="33"/>
      <c r="O64" s="33">
        <v>0</v>
      </c>
      <c r="P64" s="32">
        <f t="shared" si="9"/>
        <v>3893142</v>
      </c>
    </row>
    <row r="65" spans="1:16" ht="37.5" hidden="1" x14ac:dyDescent="0.3">
      <c r="A65" s="29" t="s">
        <v>198</v>
      </c>
      <c r="B65" s="29" t="s">
        <v>199</v>
      </c>
      <c r="C65" s="30" t="s">
        <v>200</v>
      </c>
      <c r="D65" s="31" t="s">
        <v>201</v>
      </c>
      <c r="E65" s="32">
        <f t="shared" si="0"/>
        <v>0</v>
      </c>
      <c r="F65" s="33">
        <v>0</v>
      </c>
      <c r="G65" s="33"/>
      <c r="H65" s="33"/>
      <c r="I65" s="33"/>
      <c r="J65" s="32">
        <f t="shared" si="2"/>
        <v>0</v>
      </c>
      <c r="K65" s="33">
        <f t="shared" si="25"/>
        <v>0</v>
      </c>
      <c r="L65" s="33"/>
      <c r="M65" s="33"/>
      <c r="N65" s="33"/>
      <c r="O65" s="33"/>
      <c r="P65" s="32">
        <f t="shared" si="9"/>
        <v>0</v>
      </c>
    </row>
    <row r="66" spans="1:16" ht="112.5" x14ac:dyDescent="0.3">
      <c r="A66" s="29" t="s">
        <v>384</v>
      </c>
      <c r="B66" s="29" t="s">
        <v>385</v>
      </c>
      <c r="C66" s="30" t="s">
        <v>207</v>
      </c>
      <c r="D66" s="31" t="s">
        <v>386</v>
      </c>
      <c r="E66" s="32">
        <f t="shared" si="0"/>
        <v>3778793.67</v>
      </c>
      <c r="F66" s="33">
        <f>2430140+534631+20000+28000+627887.6+138135.07</f>
        <v>3778793.67</v>
      </c>
      <c r="G66" s="33">
        <f>2430140+627887.6</f>
        <v>3058027.6</v>
      </c>
      <c r="H66" s="33"/>
      <c r="I66" s="33"/>
      <c r="J66" s="32">
        <f t="shared" si="2"/>
        <v>0</v>
      </c>
      <c r="K66" s="33">
        <f t="shared" si="25"/>
        <v>0</v>
      </c>
      <c r="L66" s="33"/>
      <c r="M66" s="33"/>
      <c r="N66" s="33"/>
      <c r="O66" s="33"/>
      <c r="P66" s="32">
        <f t="shared" si="9"/>
        <v>3778793.67</v>
      </c>
    </row>
    <row r="67" spans="1:16" ht="57.75" customHeight="1" x14ac:dyDescent="0.3">
      <c r="A67" s="29" t="s">
        <v>202</v>
      </c>
      <c r="B67" s="29" t="s">
        <v>203</v>
      </c>
      <c r="C67" s="30" t="s">
        <v>200</v>
      </c>
      <c r="D67" s="31" t="s">
        <v>204</v>
      </c>
      <c r="E67" s="32">
        <f t="shared" si="0"/>
        <v>10704</v>
      </c>
      <c r="F67" s="33">
        <f>12074-1370</f>
        <v>10704</v>
      </c>
      <c r="G67" s="33"/>
      <c r="H67" s="33"/>
      <c r="I67" s="33"/>
      <c r="J67" s="32">
        <f t="shared" si="2"/>
        <v>0</v>
      </c>
      <c r="K67" s="33">
        <f t="shared" si="25"/>
        <v>0</v>
      </c>
      <c r="L67" s="33"/>
      <c r="M67" s="33"/>
      <c r="N67" s="33"/>
      <c r="O67" s="33"/>
      <c r="P67" s="32">
        <f t="shared" si="9"/>
        <v>10704</v>
      </c>
    </row>
    <row r="68" spans="1:16" customFormat="1" ht="112.5" x14ac:dyDescent="0.2">
      <c r="A68" s="29" t="s">
        <v>435</v>
      </c>
      <c r="B68" s="29">
        <v>3160</v>
      </c>
      <c r="C68" s="30">
        <v>1010</v>
      </c>
      <c r="D68" s="31" t="s">
        <v>436</v>
      </c>
      <c r="E68" s="32">
        <f t="shared" si="0"/>
        <v>106370</v>
      </c>
      <c r="F68" s="33">
        <v>106370</v>
      </c>
      <c r="G68" s="33"/>
      <c r="H68" s="33"/>
      <c r="I68" s="33"/>
      <c r="J68" s="32">
        <f t="shared" si="2"/>
        <v>0</v>
      </c>
      <c r="K68" s="33">
        <f t="shared" si="25"/>
        <v>0</v>
      </c>
      <c r="L68" s="33"/>
      <c r="M68" s="33"/>
      <c r="N68" s="33"/>
      <c r="O68" s="33"/>
      <c r="P68" s="32">
        <f t="shared" si="9"/>
        <v>106370</v>
      </c>
    </row>
    <row r="69" spans="1:16" ht="75" x14ac:dyDescent="0.3">
      <c r="A69" s="29" t="s">
        <v>209</v>
      </c>
      <c r="B69" s="29" t="s">
        <v>210</v>
      </c>
      <c r="C69" s="30" t="s">
        <v>137</v>
      </c>
      <c r="D69" s="31" t="s">
        <v>211</v>
      </c>
      <c r="E69" s="32">
        <f t="shared" si="0"/>
        <v>1506</v>
      </c>
      <c r="F69" s="33">
        <v>1506</v>
      </c>
      <c r="G69" s="33"/>
      <c r="H69" s="33"/>
      <c r="I69" s="33"/>
      <c r="J69" s="32">
        <f t="shared" si="2"/>
        <v>0</v>
      </c>
      <c r="K69" s="33">
        <f t="shared" si="25"/>
        <v>0</v>
      </c>
      <c r="L69" s="33"/>
      <c r="M69" s="33"/>
      <c r="N69" s="33"/>
      <c r="O69" s="33"/>
      <c r="P69" s="32">
        <f t="shared" si="9"/>
        <v>1506</v>
      </c>
    </row>
    <row r="70" spans="1:16" ht="93.75" x14ac:dyDescent="0.3">
      <c r="A70" s="29" t="s">
        <v>212</v>
      </c>
      <c r="B70" s="29" t="s">
        <v>213</v>
      </c>
      <c r="C70" s="30" t="s">
        <v>214</v>
      </c>
      <c r="D70" s="31" t="s">
        <v>215</v>
      </c>
      <c r="E70" s="32">
        <f t="shared" si="0"/>
        <v>19476</v>
      </c>
      <c r="F70" s="33">
        <f>3825+15651</f>
        <v>19476</v>
      </c>
      <c r="G70" s="33"/>
      <c r="H70" s="33"/>
      <c r="I70" s="33"/>
      <c r="J70" s="32">
        <f t="shared" si="2"/>
        <v>0</v>
      </c>
      <c r="K70" s="33">
        <f t="shared" si="25"/>
        <v>0</v>
      </c>
      <c r="L70" s="33"/>
      <c r="M70" s="33"/>
      <c r="N70" s="33"/>
      <c r="O70" s="33"/>
      <c r="P70" s="32">
        <f t="shared" si="9"/>
        <v>19476</v>
      </c>
    </row>
    <row r="71" spans="1:16" ht="93.75" x14ac:dyDescent="0.3">
      <c r="A71" s="29" t="s">
        <v>205</v>
      </c>
      <c r="B71" s="29">
        <v>3140</v>
      </c>
      <c r="C71" s="139" t="s">
        <v>207</v>
      </c>
      <c r="D71" s="31" t="s">
        <v>208</v>
      </c>
      <c r="E71" s="32">
        <f t="shared" ref="E71" si="26">SUM(F71+I71)</f>
        <v>475340</v>
      </c>
      <c r="F71" s="33">
        <f>317000+158340</f>
        <v>475340</v>
      </c>
      <c r="G71" s="33"/>
      <c r="H71" s="33"/>
      <c r="I71" s="33"/>
      <c r="J71" s="32">
        <f t="shared" ref="J71" si="27">SUM(L71+O71)</f>
        <v>0</v>
      </c>
      <c r="K71" s="33">
        <f t="shared" ref="K71" si="28">SUM(O71)</f>
        <v>0</v>
      </c>
      <c r="L71" s="33"/>
      <c r="M71" s="33"/>
      <c r="N71" s="33"/>
      <c r="O71" s="33">
        <v>0</v>
      </c>
      <c r="P71" s="32">
        <f t="shared" ref="P71" si="29">E71+J71</f>
        <v>475340</v>
      </c>
    </row>
    <row r="72" spans="1:16" ht="37.5" x14ac:dyDescent="0.3">
      <c r="A72" s="29" t="s">
        <v>437</v>
      </c>
      <c r="B72" s="29">
        <v>3191</v>
      </c>
      <c r="C72" s="139">
        <v>1030</v>
      </c>
      <c r="D72" s="31" t="s">
        <v>438</v>
      </c>
      <c r="E72" s="32">
        <f t="shared" si="0"/>
        <v>630000</v>
      </c>
      <c r="F72" s="33">
        <f>600000+315000-285000</f>
        <v>630000</v>
      </c>
      <c r="G72" s="33"/>
      <c r="H72" s="33"/>
      <c r="I72" s="33"/>
      <c r="J72" s="32">
        <f t="shared" si="2"/>
        <v>0</v>
      </c>
      <c r="K72" s="33">
        <f t="shared" si="25"/>
        <v>0</v>
      </c>
      <c r="L72" s="33"/>
      <c r="M72" s="33"/>
      <c r="N72" s="33"/>
      <c r="O72" s="33"/>
      <c r="P72" s="32">
        <f t="shared" si="9"/>
        <v>630000</v>
      </c>
    </row>
    <row r="73" spans="1:16" s="70" customFormat="1" ht="37.5" x14ac:dyDescent="0.3">
      <c r="A73" s="89" t="s">
        <v>217</v>
      </c>
      <c r="B73" s="89" t="s">
        <v>218</v>
      </c>
      <c r="C73" s="90" t="s">
        <v>216</v>
      </c>
      <c r="D73" s="91" t="s">
        <v>219</v>
      </c>
      <c r="E73" s="32">
        <f t="shared" si="0"/>
        <v>1675230</v>
      </c>
      <c r="F73" s="92">
        <f>875230+400000+400000</f>
        <v>1675230</v>
      </c>
      <c r="G73" s="92"/>
      <c r="H73" s="92"/>
      <c r="I73" s="92"/>
      <c r="J73" s="32">
        <f t="shared" si="2"/>
        <v>0</v>
      </c>
      <c r="K73" s="92">
        <f t="shared" si="25"/>
        <v>0</v>
      </c>
      <c r="L73" s="92"/>
      <c r="M73" s="92"/>
      <c r="N73" s="92"/>
      <c r="O73" s="92"/>
      <c r="P73" s="32">
        <f t="shared" si="9"/>
        <v>1675230</v>
      </c>
    </row>
    <row r="74" spans="1:16" ht="56.25" x14ac:dyDescent="0.3">
      <c r="A74" s="34" t="s">
        <v>220</v>
      </c>
      <c r="B74" s="35"/>
      <c r="C74" s="36"/>
      <c r="D74" s="37" t="s">
        <v>397</v>
      </c>
      <c r="E74" s="38">
        <f t="shared" si="0"/>
        <v>1350107</v>
      </c>
      <c r="F74" s="39">
        <f>SUM(F75)</f>
        <v>1350107</v>
      </c>
      <c r="G74" s="39">
        <f t="shared" ref="G74:I74" si="30">SUM(G75)</f>
        <v>1020825</v>
      </c>
      <c r="H74" s="39">
        <f t="shared" si="30"/>
        <v>0</v>
      </c>
      <c r="I74" s="39">
        <f t="shared" si="30"/>
        <v>0</v>
      </c>
      <c r="J74" s="38">
        <f t="shared" si="2"/>
        <v>0</v>
      </c>
      <c r="K74" s="39">
        <f t="shared" ref="K74:O74" si="31">SUM(K75)</f>
        <v>0</v>
      </c>
      <c r="L74" s="39">
        <f t="shared" si="31"/>
        <v>0</v>
      </c>
      <c r="M74" s="39">
        <f t="shared" si="31"/>
        <v>0</v>
      </c>
      <c r="N74" s="39">
        <f t="shared" si="31"/>
        <v>0</v>
      </c>
      <c r="O74" s="39">
        <f t="shared" si="31"/>
        <v>0</v>
      </c>
      <c r="P74" s="38">
        <f t="shared" si="9"/>
        <v>1350107</v>
      </c>
    </row>
    <row r="75" spans="1:16" x14ac:dyDescent="0.3">
      <c r="A75" s="34" t="s">
        <v>222</v>
      </c>
      <c r="B75" s="35"/>
      <c r="C75" s="36"/>
      <c r="D75" s="37" t="s">
        <v>101</v>
      </c>
      <c r="E75" s="38">
        <f t="shared" si="0"/>
        <v>1350107</v>
      </c>
      <c r="F75" s="39">
        <f>SUM(F76:F78)</f>
        <v>1350107</v>
      </c>
      <c r="G75" s="39">
        <f t="shared" ref="G75:I75" si="32">SUM(G76:G78)</f>
        <v>1020825</v>
      </c>
      <c r="H75" s="39">
        <f t="shared" si="32"/>
        <v>0</v>
      </c>
      <c r="I75" s="39">
        <f t="shared" si="32"/>
        <v>0</v>
      </c>
      <c r="J75" s="38">
        <f t="shared" si="2"/>
        <v>0</v>
      </c>
      <c r="K75" s="39">
        <f t="shared" ref="K75:O75" si="33">SUM(K76:K78)</f>
        <v>0</v>
      </c>
      <c r="L75" s="39">
        <f t="shared" si="33"/>
        <v>0</v>
      </c>
      <c r="M75" s="39">
        <f t="shared" si="33"/>
        <v>0</v>
      </c>
      <c r="N75" s="39">
        <f t="shared" si="33"/>
        <v>0</v>
      </c>
      <c r="O75" s="39">
        <f t="shared" si="33"/>
        <v>0</v>
      </c>
      <c r="P75" s="38">
        <f t="shared" si="9"/>
        <v>1350107</v>
      </c>
    </row>
    <row r="76" spans="1:16" ht="56.25" x14ac:dyDescent="0.3">
      <c r="A76" s="29" t="s">
        <v>223</v>
      </c>
      <c r="B76" s="29" t="s">
        <v>135</v>
      </c>
      <c r="C76" s="30" t="s">
        <v>102</v>
      </c>
      <c r="D76" s="31" t="s">
        <v>103</v>
      </c>
      <c r="E76" s="32">
        <f t="shared" si="0"/>
        <v>1265107</v>
      </c>
      <c r="F76" s="33">
        <f>1020825+224582+1700+18000</f>
        <v>1265107</v>
      </c>
      <c r="G76" s="33">
        <v>1020825</v>
      </c>
      <c r="H76" s="33"/>
      <c r="I76" s="33"/>
      <c r="J76" s="38">
        <f t="shared" si="2"/>
        <v>0</v>
      </c>
      <c r="K76" s="33">
        <f t="shared" ref="K76:K78" si="34">SUM(O76)</f>
        <v>0</v>
      </c>
      <c r="L76" s="33">
        <v>0</v>
      </c>
      <c r="M76" s="33"/>
      <c r="N76" s="33"/>
      <c r="O76" s="33">
        <v>0</v>
      </c>
      <c r="P76" s="32">
        <f t="shared" si="9"/>
        <v>1265107</v>
      </c>
    </row>
    <row r="77" spans="1:16" ht="75" x14ac:dyDescent="0.3">
      <c r="A77" s="29" t="s">
        <v>439</v>
      </c>
      <c r="B77" s="29">
        <v>3114</v>
      </c>
      <c r="C77" s="139">
        <v>1040</v>
      </c>
      <c r="D77" s="31" t="s">
        <v>440</v>
      </c>
      <c r="E77" s="32">
        <f t="shared" si="0"/>
        <v>20000</v>
      </c>
      <c r="F77" s="33">
        <f>25000+35000-40000</f>
        <v>20000</v>
      </c>
      <c r="G77" s="33"/>
      <c r="H77" s="33"/>
      <c r="I77" s="33"/>
      <c r="J77" s="38">
        <f t="shared" si="2"/>
        <v>0</v>
      </c>
      <c r="K77" s="33">
        <v>0</v>
      </c>
      <c r="L77" s="33"/>
      <c r="M77" s="33"/>
      <c r="N77" s="33"/>
      <c r="O77" s="33">
        <v>0</v>
      </c>
      <c r="P77" s="32"/>
    </row>
    <row r="78" spans="1:16" ht="37.5" x14ac:dyDescent="0.3">
      <c r="A78" s="29" t="s">
        <v>224</v>
      </c>
      <c r="B78" s="29" t="s">
        <v>218</v>
      </c>
      <c r="C78" s="30" t="s">
        <v>216</v>
      </c>
      <c r="D78" s="31" t="s">
        <v>219</v>
      </c>
      <c r="E78" s="32">
        <f t="shared" si="0"/>
        <v>65000</v>
      </c>
      <c r="F78" s="33">
        <f>25000+40000</f>
        <v>65000</v>
      </c>
      <c r="G78" s="33"/>
      <c r="H78" s="33"/>
      <c r="I78" s="33"/>
      <c r="J78" s="32">
        <f t="shared" si="2"/>
        <v>0</v>
      </c>
      <c r="K78" s="33">
        <f t="shared" si="34"/>
        <v>0</v>
      </c>
      <c r="L78" s="33"/>
      <c r="M78" s="33"/>
      <c r="N78" s="33"/>
      <c r="O78" s="33"/>
      <c r="P78" s="32">
        <f t="shared" si="9"/>
        <v>65000</v>
      </c>
    </row>
    <row r="79" spans="1:16" ht="93.75" x14ac:dyDescent="0.3">
      <c r="A79" s="34" t="s">
        <v>225</v>
      </c>
      <c r="B79" s="35"/>
      <c r="C79" s="36"/>
      <c r="D79" s="37" t="s">
        <v>398</v>
      </c>
      <c r="E79" s="38">
        <f t="shared" si="0"/>
        <v>16393550</v>
      </c>
      <c r="F79" s="39">
        <f>SUM(F80)</f>
        <v>16393550</v>
      </c>
      <c r="G79" s="39">
        <f t="shared" ref="G79:I79" si="35">SUM(G80)</f>
        <v>2127391</v>
      </c>
      <c r="H79" s="39">
        <f t="shared" si="35"/>
        <v>0</v>
      </c>
      <c r="I79" s="39">
        <f t="shared" si="35"/>
        <v>0</v>
      </c>
      <c r="J79" s="38">
        <f t="shared" si="2"/>
        <v>0</v>
      </c>
      <c r="K79" s="39">
        <f t="shared" ref="K79:O79" si="36">SUM(K80)</f>
        <v>0</v>
      </c>
      <c r="L79" s="39">
        <f t="shared" si="36"/>
        <v>0</v>
      </c>
      <c r="M79" s="39">
        <f t="shared" si="36"/>
        <v>0</v>
      </c>
      <c r="N79" s="39">
        <f t="shared" si="36"/>
        <v>0</v>
      </c>
      <c r="O79" s="39">
        <f t="shared" si="36"/>
        <v>0</v>
      </c>
      <c r="P79" s="38">
        <f t="shared" si="9"/>
        <v>16393550</v>
      </c>
    </row>
    <row r="80" spans="1:16" x14ac:dyDescent="0.3">
      <c r="A80" s="34" t="s">
        <v>226</v>
      </c>
      <c r="B80" s="35"/>
      <c r="C80" s="36"/>
      <c r="D80" s="37" t="s">
        <v>101</v>
      </c>
      <c r="E80" s="38">
        <f t="shared" si="0"/>
        <v>16393550</v>
      </c>
      <c r="F80" s="39">
        <f>SUM(F81:F92)</f>
        <v>16393550</v>
      </c>
      <c r="G80" s="39">
        <f t="shared" ref="G80:I80" si="37">SUM(G81:G92)</f>
        <v>2127391</v>
      </c>
      <c r="H80" s="39">
        <f t="shared" si="37"/>
        <v>0</v>
      </c>
      <c r="I80" s="39">
        <f t="shared" si="37"/>
        <v>0</v>
      </c>
      <c r="J80" s="38">
        <f t="shared" si="2"/>
        <v>0</v>
      </c>
      <c r="K80" s="39">
        <f t="shared" ref="K80:O80" si="38">SUM(K81:K92)</f>
        <v>0</v>
      </c>
      <c r="L80" s="39">
        <f t="shared" si="38"/>
        <v>0</v>
      </c>
      <c r="M80" s="39">
        <f t="shared" si="38"/>
        <v>0</v>
      </c>
      <c r="N80" s="39">
        <f t="shared" si="38"/>
        <v>0</v>
      </c>
      <c r="O80" s="39">
        <f t="shared" si="38"/>
        <v>0</v>
      </c>
      <c r="P80" s="38">
        <f t="shared" si="9"/>
        <v>16393550</v>
      </c>
    </row>
    <row r="81" spans="1:16" ht="56.25" x14ac:dyDescent="0.3">
      <c r="A81" s="29" t="s">
        <v>227</v>
      </c>
      <c r="B81" s="29" t="s">
        <v>135</v>
      </c>
      <c r="C81" s="30" t="s">
        <v>102</v>
      </c>
      <c r="D81" s="31" t="s">
        <v>103</v>
      </c>
      <c r="E81" s="32">
        <f t="shared" si="0"/>
        <v>2544536</v>
      </c>
      <c r="F81" s="33">
        <f>2127391+357145+10000+50000</f>
        <v>2544536</v>
      </c>
      <c r="G81" s="33">
        <v>2127391</v>
      </c>
      <c r="H81" s="33"/>
      <c r="I81" s="33"/>
      <c r="J81" s="32">
        <f t="shared" si="2"/>
        <v>0</v>
      </c>
      <c r="K81" s="33"/>
      <c r="L81" s="33"/>
      <c r="M81" s="33"/>
      <c r="N81" s="33"/>
      <c r="O81" s="33"/>
      <c r="P81" s="32">
        <f t="shared" si="9"/>
        <v>2544536</v>
      </c>
    </row>
    <row r="82" spans="1:16" ht="37.5" x14ac:dyDescent="0.3">
      <c r="A82" s="29">
        <v>1213242</v>
      </c>
      <c r="B82" s="29">
        <v>3242</v>
      </c>
      <c r="C82" s="139">
        <v>1090</v>
      </c>
      <c r="D82" s="31" t="s">
        <v>219</v>
      </c>
      <c r="E82" s="32">
        <f t="shared" si="0"/>
        <v>420900</v>
      </c>
      <c r="F82" s="33">
        <f>340900+80000</f>
        <v>420900</v>
      </c>
      <c r="G82" s="33"/>
      <c r="H82" s="33"/>
      <c r="I82" s="33"/>
      <c r="J82" s="32"/>
      <c r="K82" s="33"/>
      <c r="L82" s="33"/>
      <c r="M82" s="33"/>
      <c r="N82" s="33"/>
      <c r="O82" s="33"/>
      <c r="P82" s="32">
        <f t="shared" si="9"/>
        <v>420900</v>
      </c>
    </row>
    <row r="83" spans="1:16" ht="37.5" hidden="1" x14ac:dyDescent="0.3">
      <c r="A83" s="29">
        <v>1216011</v>
      </c>
      <c r="B83" s="29">
        <v>6011</v>
      </c>
      <c r="C83" s="139" t="s">
        <v>341</v>
      </c>
      <c r="D83" s="138" t="s">
        <v>340</v>
      </c>
      <c r="E83" s="32">
        <f t="shared" si="0"/>
        <v>0</v>
      </c>
      <c r="F83" s="33">
        <v>0</v>
      </c>
      <c r="G83" s="33"/>
      <c r="H83" s="33"/>
      <c r="I83" s="33"/>
      <c r="J83" s="32">
        <f t="shared" si="2"/>
        <v>0</v>
      </c>
      <c r="K83" s="92">
        <f t="shared" ref="K83:K91" si="39">SUM(O83)</f>
        <v>0</v>
      </c>
      <c r="L83" s="33"/>
      <c r="M83" s="33"/>
      <c r="N83" s="33"/>
      <c r="O83" s="33">
        <f>350000-350000</f>
        <v>0</v>
      </c>
      <c r="P83" s="32">
        <f t="shared" si="9"/>
        <v>0</v>
      </c>
    </row>
    <row r="84" spans="1:16" ht="37.5" x14ac:dyDescent="0.3">
      <c r="A84" s="29" t="s">
        <v>228</v>
      </c>
      <c r="B84" s="29" t="s">
        <v>229</v>
      </c>
      <c r="C84" s="30" t="s">
        <v>230</v>
      </c>
      <c r="D84" s="31" t="s">
        <v>231</v>
      </c>
      <c r="E84" s="32">
        <f t="shared" si="0"/>
        <v>400000</v>
      </c>
      <c r="F84" s="33">
        <v>400000</v>
      </c>
      <c r="G84" s="33"/>
      <c r="H84" s="33">
        <v>0</v>
      </c>
      <c r="I84" s="33"/>
      <c r="J84" s="32">
        <f t="shared" si="2"/>
        <v>0</v>
      </c>
      <c r="K84" s="33">
        <f t="shared" si="39"/>
        <v>0</v>
      </c>
      <c r="L84" s="33"/>
      <c r="M84" s="33"/>
      <c r="N84" s="33"/>
      <c r="O84" s="33"/>
      <c r="P84" s="32">
        <f t="shared" si="9"/>
        <v>400000</v>
      </c>
    </row>
    <row r="85" spans="1:16" s="70" customFormat="1" ht="75" x14ac:dyDescent="0.3">
      <c r="A85" s="89" t="s">
        <v>301</v>
      </c>
      <c r="B85" s="89">
        <v>6020</v>
      </c>
      <c r="C85" s="90" t="s">
        <v>230</v>
      </c>
      <c r="D85" s="91" t="s">
        <v>304</v>
      </c>
      <c r="E85" s="32">
        <f t="shared" ref="E85" si="40">SUM(F85+I85)</f>
        <v>5041800</v>
      </c>
      <c r="F85" s="92">
        <f>2345000+2696800</f>
        <v>5041800</v>
      </c>
      <c r="G85" s="92"/>
      <c r="H85" s="92"/>
      <c r="I85" s="92"/>
      <c r="J85" s="32">
        <f t="shared" ref="J85" si="41">SUM(L85+O85)</f>
        <v>0</v>
      </c>
      <c r="K85" s="92">
        <f t="shared" si="39"/>
        <v>0</v>
      </c>
      <c r="L85" s="92">
        <v>0</v>
      </c>
      <c r="M85" s="92"/>
      <c r="N85" s="92"/>
      <c r="O85" s="92">
        <v>0</v>
      </c>
      <c r="P85" s="32">
        <f t="shared" ref="P85" si="42">E85+J85</f>
        <v>5041800</v>
      </c>
    </row>
    <row r="86" spans="1:16" customFormat="1" hidden="1" x14ac:dyDescent="0.2">
      <c r="A86" s="2" t="s">
        <v>232</v>
      </c>
      <c r="B86" s="2" t="s">
        <v>233</v>
      </c>
      <c r="C86" s="3" t="s">
        <v>230</v>
      </c>
      <c r="D86" s="4" t="s">
        <v>234</v>
      </c>
      <c r="E86" s="5">
        <f t="shared" si="0"/>
        <v>0</v>
      </c>
      <c r="F86" s="6"/>
      <c r="G86" s="6"/>
      <c r="H86" s="6"/>
      <c r="I86" s="6"/>
      <c r="J86" s="32">
        <f t="shared" si="2"/>
        <v>0</v>
      </c>
      <c r="K86" s="6">
        <f t="shared" si="39"/>
        <v>0</v>
      </c>
      <c r="L86" s="6"/>
      <c r="M86" s="6"/>
      <c r="N86" s="6"/>
      <c r="O86" s="6"/>
      <c r="P86" s="32">
        <f t="shared" si="9"/>
        <v>0</v>
      </c>
    </row>
    <row r="87" spans="1:16" customFormat="1" x14ac:dyDescent="0.2">
      <c r="A87" s="89" t="s">
        <v>232</v>
      </c>
      <c r="B87" s="89">
        <v>6030</v>
      </c>
      <c r="C87" s="90" t="s">
        <v>230</v>
      </c>
      <c r="D87" s="91" t="s">
        <v>234</v>
      </c>
      <c r="E87" s="32">
        <f t="shared" ref="E87" si="43">SUM(F87+I87)</f>
        <v>3858200</v>
      </c>
      <c r="F87" s="92">
        <f>1483283+2374917</f>
        <v>3858200</v>
      </c>
      <c r="G87" s="92"/>
      <c r="H87" s="92">
        <v>0</v>
      </c>
      <c r="I87" s="92"/>
      <c r="J87" s="32">
        <f t="shared" ref="J87" si="44">SUM(L87+O87)</f>
        <v>0</v>
      </c>
      <c r="K87" s="92">
        <f t="shared" ref="K87" si="45">SUM(O87)</f>
        <v>0</v>
      </c>
      <c r="L87" s="92"/>
      <c r="M87" s="92"/>
      <c r="N87" s="92"/>
      <c r="O87" s="92">
        <v>0</v>
      </c>
      <c r="P87" s="32">
        <f t="shared" si="9"/>
        <v>3858200</v>
      </c>
    </row>
    <row r="88" spans="1:16" ht="37.5" hidden="1" x14ac:dyDescent="0.3">
      <c r="A88" s="29" t="s">
        <v>342</v>
      </c>
      <c r="B88" s="29">
        <v>7310</v>
      </c>
      <c r="C88" s="139" t="s">
        <v>344</v>
      </c>
      <c r="D88" s="31" t="s">
        <v>343</v>
      </c>
      <c r="E88" s="32">
        <f t="shared" si="0"/>
        <v>0</v>
      </c>
      <c r="F88" s="33"/>
      <c r="G88" s="33"/>
      <c r="H88" s="33"/>
      <c r="I88" s="33"/>
      <c r="J88" s="32">
        <f t="shared" si="2"/>
        <v>0</v>
      </c>
      <c r="K88" s="33">
        <f t="shared" si="39"/>
        <v>0</v>
      </c>
      <c r="L88" s="33"/>
      <c r="M88" s="33"/>
      <c r="N88" s="33"/>
      <c r="O88" s="33">
        <v>0</v>
      </c>
      <c r="P88" s="32">
        <f t="shared" si="9"/>
        <v>0</v>
      </c>
    </row>
    <row r="89" spans="1:16" s="93" customFormat="1" ht="56.25" hidden="1" x14ac:dyDescent="0.2">
      <c r="A89" s="89" t="s">
        <v>235</v>
      </c>
      <c r="B89" s="89" t="s">
        <v>236</v>
      </c>
      <c r="C89" s="90" t="s">
        <v>237</v>
      </c>
      <c r="D89" s="91" t="s">
        <v>238</v>
      </c>
      <c r="E89" s="32">
        <f t="shared" si="0"/>
        <v>0</v>
      </c>
      <c r="F89" s="92">
        <v>0</v>
      </c>
      <c r="G89" s="92"/>
      <c r="H89" s="92"/>
      <c r="I89" s="92"/>
      <c r="J89" s="32">
        <f t="shared" si="2"/>
        <v>0</v>
      </c>
      <c r="K89" s="92">
        <f t="shared" si="39"/>
        <v>0</v>
      </c>
      <c r="L89" s="92"/>
      <c r="M89" s="92"/>
      <c r="N89" s="92"/>
      <c r="O89" s="92"/>
      <c r="P89" s="32">
        <f t="shared" si="9"/>
        <v>0</v>
      </c>
    </row>
    <row r="90" spans="1:16" s="190" customFormat="1" ht="56.25" hidden="1" x14ac:dyDescent="0.3">
      <c r="A90" s="185" t="s">
        <v>239</v>
      </c>
      <c r="B90" s="185" t="s">
        <v>240</v>
      </c>
      <c r="C90" s="186" t="s">
        <v>237</v>
      </c>
      <c r="D90" s="187" t="s">
        <v>241</v>
      </c>
      <c r="E90" s="32">
        <f t="shared" si="0"/>
        <v>0</v>
      </c>
      <c r="F90" s="189">
        <v>0</v>
      </c>
      <c r="G90" s="189"/>
      <c r="H90" s="189"/>
      <c r="I90" s="189"/>
      <c r="J90" s="32">
        <f t="shared" si="2"/>
        <v>0</v>
      </c>
      <c r="K90" s="189">
        <f t="shared" si="39"/>
        <v>0</v>
      </c>
      <c r="L90" s="189"/>
      <c r="M90" s="189"/>
      <c r="N90" s="189"/>
      <c r="O90" s="189"/>
      <c r="P90" s="32">
        <f t="shared" si="9"/>
        <v>0</v>
      </c>
    </row>
    <row r="91" spans="1:16" customFormat="1" hidden="1" x14ac:dyDescent="0.2">
      <c r="A91" s="2" t="s">
        <v>242</v>
      </c>
      <c r="B91" s="2">
        <v>7670</v>
      </c>
      <c r="C91" s="3">
        <v>490</v>
      </c>
      <c r="D91" s="4" t="s">
        <v>243</v>
      </c>
      <c r="E91" s="32">
        <f t="shared" si="0"/>
        <v>0</v>
      </c>
      <c r="F91" s="6"/>
      <c r="G91" s="6"/>
      <c r="H91" s="6"/>
      <c r="I91" s="6"/>
      <c r="J91" s="32">
        <f>SUM(L91+O91)</f>
        <v>0</v>
      </c>
      <c r="K91" s="6">
        <f t="shared" si="39"/>
        <v>0</v>
      </c>
      <c r="L91" s="6"/>
      <c r="M91" s="6"/>
      <c r="N91" s="6"/>
      <c r="O91" s="6"/>
      <c r="P91" s="32">
        <f t="shared" si="9"/>
        <v>0</v>
      </c>
    </row>
    <row r="92" spans="1:16" s="93" customFormat="1" ht="37.5" x14ac:dyDescent="0.2">
      <c r="A92" s="89" t="s">
        <v>244</v>
      </c>
      <c r="B92" s="89" t="s">
        <v>125</v>
      </c>
      <c r="C92" s="90" t="s">
        <v>126</v>
      </c>
      <c r="D92" s="91" t="s">
        <v>127</v>
      </c>
      <c r="E92" s="32">
        <f t="shared" si="0"/>
        <v>4128114</v>
      </c>
      <c r="F92" s="92">
        <f>1000000+2000000+1128114</f>
        <v>4128114</v>
      </c>
      <c r="G92" s="92"/>
      <c r="H92" s="92"/>
      <c r="I92" s="92"/>
      <c r="J92" s="32">
        <f t="shared" ref="J92:J104" si="46">SUM(L92+O92)</f>
        <v>0</v>
      </c>
      <c r="K92" s="92">
        <f>SUM(O92)</f>
        <v>0</v>
      </c>
      <c r="L92" s="92"/>
      <c r="M92" s="92"/>
      <c r="N92" s="92"/>
      <c r="O92" s="92">
        <v>0</v>
      </c>
      <c r="P92" s="32">
        <f t="shared" si="9"/>
        <v>4128114</v>
      </c>
    </row>
    <row r="93" spans="1:16" ht="56.25" x14ac:dyDescent="0.3">
      <c r="A93" s="34" t="s">
        <v>245</v>
      </c>
      <c r="B93" s="35"/>
      <c r="C93" s="36"/>
      <c r="D93" s="37" t="s">
        <v>399</v>
      </c>
      <c r="E93" s="38">
        <f t="shared" si="0"/>
        <v>0</v>
      </c>
      <c r="F93" s="39">
        <f>SUM(F94)</f>
        <v>0</v>
      </c>
      <c r="G93" s="39">
        <f t="shared" ref="G93:I94" si="47">SUM(G94)</f>
        <v>0</v>
      </c>
      <c r="H93" s="39">
        <f t="shared" si="47"/>
        <v>0</v>
      </c>
      <c r="I93" s="39">
        <f t="shared" si="47"/>
        <v>0</v>
      </c>
      <c r="J93" s="38">
        <f t="shared" si="46"/>
        <v>0</v>
      </c>
      <c r="K93" s="39">
        <f t="shared" ref="K93:O94" si="48">SUM(K94)</f>
        <v>0</v>
      </c>
      <c r="L93" s="39">
        <f t="shared" si="48"/>
        <v>0</v>
      </c>
      <c r="M93" s="39">
        <f t="shared" si="48"/>
        <v>0</v>
      </c>
      <c r="N93" s="39">
        <f t="shared" si="48"/>
        <v>0</v>
      </c>
      <c r="O93" s="39">
        <f t="shared" si="48"/>
        <v>0</v>
      </c>
      <c r="P93" s="38">
        <f t="shared" si="9"/>
        <v>0</v>
      </c>
    </row>
    <row r="94" spans="1:16" x14ac:dyDescent="0.3">
      <c r="A94" s="34" t="s">
        <v>246</v>
      </c>
      <c r="B94" s="35"/>
      <c r="C94" s="36"/>
      <c r="D94" s="37" t="s">
        <v>101</v>
      </c>
      <c r="E94" s="38">
        <f t="shared" si="0"/>
        <v>0</v>
      </c>
      <c r="F94" s="39">
        <f>SUM(F95)</f>
        <v>0</v>
      </c>
      <c r="G94" s="39">
        <f t="shared" si="47"/>
        <v>0</v>
      </c>
      <c r="H94" s="39">
        <f t="shared" si="47"/>
        <v>0</v>
      </c>
      <c r="I94" s="39">
        <f t="shared" si="47"/>
        <v>0</v>
      </c>
      <c r="J94" s="38">
        <f t="shared" si="46"/>
        <v>0</v>
      </c>
      <c r="K94" s="39">
        <f t="shared" si="48"/>
        <v>0</v>
      </c>
      <c r="L94" s="39">
        <f t="shared" si="48"/>
        <v>0</v>
      </c>
      <c r="M94" s="39">
        <f t="shared" si="48"/>
        <v>0</v>
      </c>
      <c r="N94" s="39">
        <f t="shared" si="48"/>
        <v>0</v>
      </c>
      <c r="O94" s="39">
        <f t="shared" si="48"/>
        <v>0</v>
      </c>
      <c r="P94" s="38">
        <f t="shared" si="9"/>
        <v>0</v>
      </c>
    </row>
    <row r="95" spans="1:16" ht="56.25" x14ac:dyDescent="0.3">
      <c r="A95" s="29" t="s">
        <v>247</v>
      </c>
      <c r="B95" s="29" t="s">
        <v>135</v>
      </c>
      <c r="C95" s="30" t="s">
        <v>102</v>
      </c>
      <c r="D95" s="31" t="s">
        <v>103</v>
      </c>
      <c r="E95" s="32">
        <f t="shared" si="0"/>
        <v>0</v>
      </c>
      <c r="F95" s="33">
        <v>0</v>
      </c>
      <c r="G95" s="33">
        <v>0</v>
      </c>
      <c r="H95" s="33"/>
      <c r="I95" s="33"/>
      <c r="J95" s="32">
        <f t="shared" si="46"/>
        <v>0</v>
      </c>
      <c r="K95" s="33">
        <f t="shared" ref="K95" si="49">SUM(O95)</f>
        <v>0</v>
      </c>
      <c r="L95" s="33"/>
      <c r="M95" s="33"/>
      <c r="N95" s="33"/>
      <c r="O95" s="33"/>
      <c r="P95" s="32">
        <f t="shared" si="9"/>
        <v>0</v>
      </c>
    </row>
    <row r="96" spans="1:16" ht="56.25" x14ac:dyDescent="0.3">
      <c r="A96" s="34" t="s">
        <v>248</v>
      </c>
      <c r="B96" s="35"/>
      <c r="C96" s="36"/>
      <c r="D96" s="37" t="s">
        <v>400</v>
      </c>
      <c r="E96" s="38">
        <f t="shared" si="0"/>
        <v>1895770</v>
      </c>
      <c r="F96" s="39">
        <f>SUM(F97)</f>
        <v>1895770</v>
      </c>
      <c r="G96" s="39">
        <f t="shared" ref="G96:I97" si="50">SUM(G97)</f>
        <v>1482467</v>
      </c>
      <c r="H96" s="39">
        <f t="shared" si="50"/>
        <v>0</v>
      </c>
      <c r="I96" s="39">
        <f t="shared" si="50"/>
        <v>0</v>
      </c>
      <c r="J96" s="38">
        <f t="shared" si="46"/>
        <v>0</v>
      </c>
      <c r="K96" s="39">
        <f t="shared" ref="K96:O97" si="51">SUM(K97)</f>
        <v>0</v>
      </c>
      <c r="L96" s="39">
        <f t="shared" si="51"/>
        <v>0</v>
      </c>
      <c r="M96" s="39">
        <f t="shared" si="51"/>
        <v>0</v>
      </c>
      <c r="N96" s="39">
        <f t="shared" si="51"/>
        <v>0</v>
      </c>
      <c r="O96" s="39">
        <f t="shared" si="51"/>
        <v>0</v>
      </c>
      <c r="P96" s="38">
        <f t="shared" si="9"/>
        <v>1895770</v>
      </c>
    </row>
    <row r="97" spans="1:16" x14ac:dyDescent="0.3">
      <c r="A97" s="34" t="s">
        <v>249</v>
      </c>
      <c r="B97" s="35"/>
      <c r="C97" s="36"/>
      <c r="D97" s="37" t="s">
        <v>101</v>
      </c>
      <c r="E97" s="38">
        <f t="shared" si="0"/>
        <v>1895770</v>
      </c>
      <c r="F97" s="39">
        <f>SUM(F98)</f>
        <v>1895770</v>
      </c>
      <c r="G97" s="39">
        <f t="shared" si="50"/>
        <v>1482467</v>
      </c>
      <c r="H97" s="39">
        <f t="shared" si="50"/>
        <v>0</v>
      </c>
      <c r="I97" s="39">
        <f t="shared" si="50"/>
        <v>0</v>
      </c>
      <c r="J97" s="38">
        <f t="shared" si="46"/>
        <v>0</v>
      </c>
      <c r="K97" s="39">
        <f t="shared" si="51"/>
        <v>0</v>
      </c>
      <c r="L97" s="39">
        <f t="shared" si="51"/>
        <v>0</v>
      </c>
      <c r="M97" s="39">
        <f t="shared" si="51"/>
        <v>0</v>
      </c>
      <c r="N97" s="39">
        <f t="shared" si="51"/>
        <v>0</v>
      </c>
      <c r="O97" s="39">
        <f t="shared" si="51"/>
        <v>0</v>
      </c>
      <c r="P97" s="38">
        <f t="shared" si="9"/>
        <v>1895770</v>
      </c>
    </row>
    <row r="98" spans="1:16" ht="56.25" x14ac:dyDescent="0.3">
      <c r="A98" s="29" t="s">
        <v>251</v>
      </c>
      <c r="B98" s="29" t="s">
        <v>135</v>
      </c>
      <c r="C98" s="30" t="s">
        <v>102</v>
      </c>
      <c r="D98" s="31" t="s">
        <v>103</v>
      </c>
      <c r="E98" s="32">
        <f t="shared" ref="E98:E104" si="52">SUM(F98+I98)</f>
        <v>1895770</v>
      </c>
      <c r="F98" s="33">
        <f>1482467+326143+18000+15000+29160+25000</f>
        <v>1895770</v>
      </c>
      <c r="G98" s="33">
        <v>1482467</v>
      </c>
      <c r="H98" s="33"/>
      <c r="I98" s="33"/>
      <c r="J98" s="32">
        <f t="shared" si="46"/>
        <v>0</v>
      </c>
      <c r="K98" s="33">
        <f t="shared" ref="K98" si="53">SUM(O98)</f>
        <v>0</v>
      </c>
      <c r="L98" s="33"/>
      <c r="M98" s="33"/>
      <c r="N98" s="33"/>
      <c r="O98" s="33"/>
      <c r="P98" s="32">
        <f t="shared" si="9"/>
        <v>1895770</v>
      </c>
    </row>
    <row r="99" spans="1:16" ht="56.25" x14ac:dyDescent="0.3">
      <c r="A99" s="34" t="s">
        <v>252</v>
      </c>
      <c r="B99" s="35"/>
      <c r="C99" s="36"/>
      <c r="D99" s="37" t="s">
        <v>401</v>
      </c>
      <c r="E99" s="38">
        <f t="shared" si="52"/>
        <v>11627415.890000001</v>
      </c>
      <c r="F99" s="39">
        <f>SUM(F100)</f>
        <v>11627415.890000001</v>
      </c>
      <c r="G99" s="39">
        <f t="shared" ref="G99:I99" si="54">SUM(G100)</f>
        <v>1583166.16</v>
      </c>
      <c r="H99" s="39">
        <f t="shared" si="54"/>
        <v>0</v>
      </c>
      <c r="I99" s="39">
        <f t="shared" si="54"/>
        <v>0</v>
      </c>
      <c r="J99" s="38">
        <f t="shared" si="46"/>
        <v>0</v>
      </c>
      <c r="K99" s="39">
        <f t="shared" ref="K99:O99" si="55">SUM(K100)</f>
        <v>0</v>
      </c>
      <c r="L99" s="39">
        <f t="shared" si="55"/>
        <v>0</v>
      </c>
      <c r="M99" s="39">
        <f t="shared" si="55"/>
        <v>0</v>
      </c>
      <c r="N99" s="39">
        <f t="shared" si="55"/>
        <v>0</v>
      </c>
      <c r="O99" s="39">
        <f t="shared" si="55"/>
        <v>0</v>
      </c>
      <c r="P99" s="38">
        <f t="shared" si="9"/>
        <v>11627415.890000001</v>
      </c>
    </row>
    <row r="100" spans="1:16" x14ac:dyDescent="0.3">
      <c r="A100" s="34" t="s">
        <v>253</v>
      </c>
      <c r="B100" s="35"/>
      <c r="C100" s="36"/>
      <c r="D100" s="37" t="s">
        <v>101</v>
      </c>
      <c r="E100" s="38">
        <f t="shared" si="52"/>
        <v>11627415.890000001</v>
      </c>
      <c r="F100" s="39">
        <f>SUM(F101:F104)</f>
        <v>11627415.890000001</v>
      </c>
      <c r="G100" s="39">
        <f t="shared" ref="G100:I100" si="56">SUM(G101:G104)</f>
        <v>1583166.16</v>
      </c>
      <c r="H100" s="39">
        <f t="shared" si="56"/>
        <v>0</v>
      </c>
      <c r="I100" s="39">
        <f t="shared" si="56"/>
        <v>0</v>
      </c>
      <c r="J100" s="38">
        <f t="shared" si="46"/>
        <v>0</v>
      </c>
      <c r="K100" s="39">
        <f t="shared" ref="K100:O100" si="57">SUM(K101:K104)</f>
        <v>0</v>
      </c>
      <c r="L100" s="39">
        <f t="shared" si="57"/>
        <v>0</v>
      </c>
      <c r="M100" s="39">
        <f t="shared" si="57"/>
        <v>0</v>
      </c>
      <c r="N100" s="39">
        <f t="shared" si="57"/>
        <v>0</v>
      </c>
      <c r="O100" s="39">
        <f t="shared" si="57"/>
        <v>0</v>
      </c>
      <c r="P100" s="38">
        <f t="shared" si="9"/>
        <v>11627415.890000001</v>
      </c>
    </row>
    <row r="101" spans="1:16" ht="56.25" x14ac:dyDescent="0.3">
      <c r="A101" s="29" t="s">
        <v>254</v>
      </c>
      <c r="B101" s="29" t="s">
        <v>135</v>
      </c>
      <c r="C101" s="30" t="s">
        <v>102</v>
      </c>
      <c r="D101" s="31" t="s">
        <v>103</v>
      </c>
      <c r="E101" s="32">
        <f t="shared" si="52"/>
        <v>1966463</v>
      </c>
      <c r="F101" s="33">
        <f>1516676+333669+15000+20000+66490.16+14627.84</f>
        <v>1966463</v>
      </c>
      <c r="G101" s="33">
        <f>1516676+66490.16</f>
        <v>1583166.16</v>
      </c>
      <c r="H101" s="33"/>
      <c r="I101" s="33"/>
      <c r="J101" s="32">
        <f t="shared" si="46"/>
        <v>0</v>
      </c>
      <c r="K101" s="33">
        <f t="shared" ref="K101:K104" si="58">SUM(O101)</f>
        <v>0</v>
      </c>
      <c r="L101" s="33"/>
      <c r="M101" s="33"/>
      <c r="N101" s="33"/>
      <c r="O101" s="33"/>
      <c r="P101" s="32">
        <f t="shared" si="9"/>
        <v>1966463</v>
      </c>
    </row>
    <row r="102" spans="1:16" s="70" customFormat="1" ht="37.5" x14ac:dyDescent="0.3">
      <c r="A102" s="89" t="s">
        <v>310</v>
      </c>
      <c r="B102" s="89">
        <v>7370</v>
      </c>
      <c r="C102" s="155" t="s">
        <v>119</v>
      </c>
      <c r="D102" s="162" t="s">
        <v>335</v>
      </c>
      <c r="E102" s="32">
        <f t="shared" si="52"/>
        <v>711896.58</v>
      </c>
      <c r="F102" s="92">
        <f>1586000+328540-30000-50000-1128114-34939.42-38000+78410</f>
        <v>711896.58</v>
      </c>
      <c r="G102" s="92"/>
      <c r="H102" s="92"/>
      <c r="I102" s="92"/>
      <c r="J102" s="32">
        <f t="shared" si="46"/>
        <v>0</v>
      </c>
      <c r="K102" s="92">
        <f t="shared" si="58"/>
        <v>0</v>
      </c>
      <c r="L102" s="92"/>
      <c r="M102" s="92"/>
      <c r="N102" s="92"/>
      <c r="O102" s="92"/>
      <c r="P102" s="32">
        <f t="shared" ref="P102" si="59">E102+J102</f>
        <v>711896.58</v>
      </c>
    </row>
    <row r="103" spans="1:16" s="70" customFormat="1" ht="21" customHeight="1" x14ac:dyDescent="0.3">
      <c r="A103" s="89" t="s">
        <v>311</v>
      </c>
      <c r="B103" s="89">
        <v>9150</v>
      </c>
      <c r="C103" s="155" t="s">
        <v>130</v>
      </c>
      <c r="D103" s="91" t="s">
        <v>75</v>
      </c>
      <c r="E103" s="32">
        <f t="shared" ref="E103" si="60">SUM(F103+I103)</f>
        <v>5029900</v>
      </c>
      <c r="F103" s="92">
        <f>180000+50000+4799900</f>
        <v>5029900</v>
      </c>
      <c r="G103" s="92"/>
      <c r="H103" s="92"/>
      <c r="I103" s="92"/>
      <c r="J103" s="32">
        <f t="shared" ref="J103" si="61">SUM(L103+O103)</f>
        <v>0</v>
      </c>
      <c r="K103" s="92">
        <f t="shared" si="58"/>
        <v>0</v>
      </c>
      <c r="L103" s="92"/>
      <c r="M103" s="92"/>
      <c r="N103" s="92"/>
      <c r="O103" s="92"/>
      <c r="P103" s="32">
        <f t="shared" ref="P103" si="62">E103+J103</f>
        <v>5029900</v>
      </c>
    </row>
    <row r="104" spans="1:16" s="93" customFormat="1" x14ac:dyDescent="0.2">
      <c r="A104" s="89" t="s">
        <v>255</v>
      </c>
      <c r="B104" s="89" t="s">
        <v>256</v>
      </c>
      <c r="C104" s="90" t="s">
        <v>130</v>
      </c>
      <c r="D104" s="91" t="s">
        <v>77</v>
      </c>
      <c r="E104" s="32">
        <f t="shared" si="52"/>
        <v>3919156.31</v>
      </c>
      <c r="F104" s="92">
        <f>3132100+85556.31-950800+535800+950800+165700</f>
        <v>3919156.31</v>
      </c>
      <c r="G104" s="92"/>
      <c r="H104" s="92"/>
      <c r="I104" s="92"/>
      <c r="J104" s="32">
        <f t="shared" si="46"/>
        <v>0</v>
      </c>
      <c r="K104" s="92">
        <f t="shared" si="58"/>
        <v>0</v>
      </c>
      <c r="L104" s="92"/>
      <c r="M104" s="92"/>
      <c r="N104" s="92"/>
      <c r="O104" s="92"/>
      <c r="P104" s="32">
        <f t="shared" ref="P104:P105" si="63">E104+J104</f>
        <v>3919156.31</v>
      </c>
    </row>
    <row r="105" spans="1:16" x14ac:dyDescent="0.3">
      <c r="A105" s="40" t="s">
        <v>79</v>
      </c>
      <c r="B105" s="41" t="s">
        <v>79</v>
      </c>
      <c r="C105" s="42" t="s">
        <v>79</v>
      </c>
      <c r="D105" s="43" t="s">
        <v>257</v>
      </c>
      <c r="E105" s="38">
        <f>SUM(E19+E23+E35+E62+E74+E79+E93+E96+E99)</f>
        <v>111284925.41</v>
      </c>
      <c r="F105" s="38">
        <f>SUM(F19+F23+F35+F62+F74+F79+F93+F96+F99)</f>
        <v>111284925.41</v>
      </c>
      <c r="G105" s="38">
        <f>SUM(G19+G23+G35+G62+G74+G79+G93+G96+G99)</f>
        <v>64709335.199999996</v>
      </c>
      <c r="H105" s="38">
        <f>SUM(H19+H23+H35+H62+H74+H79+H93+H96+H99)</f>
        <v>910700</v>
      </c>
      <c r="I105" s="38">
        <f t="shared" ref="I105:O105" si="64">SUM(I19+I23+I35+I62+I74+I79+I93+I96+I99)</f>
        <v>0</v>
      </c>
      <c r="J105" s="38">
        <f>SUM(J19+J23+J35+J62+J74+J79+J93+J96+J99+J61)</f>
        <v>0</v>
      </c>
      <c r="K105" s="38">
        <f>SUM(K19+K23+K35+K62+K74+K79+K93+K96+K99)</f>
        <v>0</v>
      </c>
      <c r="L105" s="38">
        <f>SUM(L19+L23+L35+L62+L74+L79+L61+L93+L96+L99)</f>
        <v>0</v>
      </c>
      <c r="M105" s="38">
        <f t="shared" si="64"/>
        <v>0</v>
      </c>
      <c r="N105" s="38">
        <f t="shared" si="64"/>
        <v>0</v>
      </c>
      <c r="O105" s="38">
        <f t="shared" si="64"/>
        <v>0</v>
      </c>
      <c r="P105" s="38">
        <f t="shared" si="63"/>
        <v>111284925.41</v>
      </c>
    </row>
    <row r="106" spans="1:16" ht="3.75" customHeight="1" x14ac:dyDescent="0.3"/>
    <row r="107" spans="1:16" ht="18" customHeight="1" x14ac:dyDescent="0.3"/>
    <row r="108" spans="1:16" x14ac:dyDescent="0.3">
      <c r="E108" s="7" t="s">
        <v>81</v>
      </c>
      <c r="L108" s="7" t="s">
        <v>82</v>
      </c>
    </row>
    <row r="109" spans="1:16" x14ac:dyDescent="0.3">
      <c r="B109" s="26"/>
      <c r="I109" s="26"/>
    </row>
    <row r="110" spans="1:16" x14ac:dyDescent="0.3">
      <c r="B110" s="26"/>
    </row>
    <row r="111" spans="1:16" s="142" customFormat="1" x14ac:dyDescent="0.3">
      <c r="E111" s="143">
        <f>'дод 1'!D107+'дод 2'!D31-'дод 3'!E105</f>
        <v>0</v>
      </c>
      <c r="G111" s="143"/>
      <c r="J111" s="143">
        <f>'дод 1'!E107+'дод 2'!E31-'дод 3'!J105</f>
        <v>0</v>
      </c>
      <c r="P111" s="143">
        <f>'дод 1'!C107+'дод 2'!C31-'дод 3'!P105</f>
        <v>0</v>
      </c>
    </row>
    <row r="114" spans="10:11" x14ac:dyDescent="0.3">
      <c r="J114" s="150"/>
      <c r="K114" s="150"/>
    </row>
  </sheetData>
  <autoFilter ref="A18:P105">
    <filterColumn colId="15">
      <customFilters>
        <customFilter operator="notEqual" val="0"/>
      </customFilters>
    </filterColumn>
  </autoFilter>
  <mergeCells count="22">
    <mergeCell ref="O15:O17"/>
    <mergeCell ref="G16:G17"/>
    <mergeCell ref="H16:H17"/>
    <mergeCell ref="M16:M17"/>
    <mergeCell ref="N16:N17"/>
    <mergeCell ref="L15:L17"/>
    <mergeCell ref="A10:P10"/>
    <mergeCell ref="A11:P11"/>
    <mergeCell ref="A14:A17"/>
    <mergeCell ref="B14:B17"/>
    <mergeCell ref="C14:C17"/>
    <mergeCell ref="D14:D17"/>
    <mergeCell ref="E14:I14"/>
    <mergeCell ref="J14:O14"/>
    <mergeCell ref="P14:P17"/>
    <mergeCell ref="E15:E17"/>
    <mergeCell ref="F15:F17"/>
    <mergeCell ref="G15:H15"/>
    <mergeCell ref="I15:I17"/>
    <mergeCell ref="J15:J17"/>
    <mergeCell ref="K15:K17"/>
    <mergeCell ref="M15:N15"/>
  </mergeCells>
  <printOptions horizontalCentered="1"/>
  <pageMargins left="0.19685039370078741" right="0.19685039370078741" top="0.59055118110236227" bottom="0.39370078740157483" header="0" footer="0"/>
  <pageSetup paperSize="9" scale="50" fitToHeight="50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36"/>
  <sheetViews>
    <sheetView zoomScaleNormal="100" workbookViewId="0">
      <selection activeCell="C9" sqref="C9"/>
    </sheetView>
  </sheetViews>
  <sheetFormatPr defaultColWidth="9.140625" defaultRowHeight="18.75" x14ac:dyDescent="0.3"/>
  <cols>
    <col min="1" max="2" width="20.7109375" style="7" customWidth="1"/>
    <col min="3" max="3" width="53.85546875" style="7" customWidth="1"/>
    <col min="4" max="4" width="31.28515625" style="7" customWidth="1"/>
    <col min="5" max="6" width="9.140625" style="7"/>
    <col min="7" max="7" width="19.5703125" style="7" bestFit="1" customWidth="1"/>
    <col min="8" max="16384" width="9.140625" style="7"/>
  </cols>
  <sheetData>
    <row r="1" spans="1:4" x14ac:dyDescent="0.3">
      <c r="A1" s="44"/>
      <c r="C1" s="233" t="s">
        <v>328</v>
      </c>
      <c r="D1" s="233"/>
    </row>
    <row r="2" spans="1:4" x14ac:dyDescent="0.3">
      <c r="C2" s="233" t="s">
        <v>308</v>
      </c>
      <c r="D2" s="233"/>
    </row>
    <row r="3" spans="1:4" x14ac:dyDescent="0.3">
      <c r="C3" s="233" t="s">
        <v>306</v>
      </c>
      <c r="D3" s="233"/>
    </row>
    <row r="4" spans="1:4" x14ac:dyDescent="0.3">
      <c r="C4" s="233" t="s">
        <v>307</v>
      </c>
      <c r="D4" s="233"/>
    </row>
    <row r="5" spans="1:4" x14ac:dyDescent="0.3">
      <c r="C5" s="233" t="s">
        <v>471</v>
      </c>
      <c r="D5" s="233"/>
    </row>
    <row r="6" spans="1:4" x14ac:dyDescent="0.3">
      <c r="C6" s="7" t="s">
        <v>475</v>
      </c>
    </row>
    <row r="7" spans="1:4" x14ac:dyDescent="0.3">
      <c r="C7" s="7" t="s">
        <v>306</v>
      </c>
    </row>
    <row r="8" spans="1:4" x14ac:dyDescent="0.3">
      <c r="C8" s="7" t="s">
        <v>518</v>
      </c>
    </row>
    <row r="9" spans="1:4" x14ac:dyDescent="0.3">
      <c r="C9" s="7" t="s">
        <v>515</v>
      </c>
    </row>
    <row r="10" spans="1:4" ht="25.5" customHeight="1" x14ac:dyDescent="0.3">
      <c r="C10" s="8"/>
      <c r="D10" s="8"/>
    </row>
    <row r="11" spans="1:4" x14ac:dyDescent="0.3">
      <c r="A11" s="217" t="s">
        <v>441</v>
      </c>
      <c r="B11" s="218"/>
      <c r="C11" s="218"/>
      <c r="D11" s="218"/>
    </row>
    <row r="12" spans="1:4" x14ac:dyDescent="0.3">
      <c r="A12" s="228" t="s">
        <v>89</v>
      </c>
      <c r="B12" s="218"/>
      <c r="C12" s="218"/>
      <c r="D12" s="218"/>
    </row>
    <row r="13" spans="1:4" x14ac:dyDescent="0.3">
      <c r="A13" s="218" t="s">
        <v>1</v>
      </c>
      <c r="B13" s="218"/>
      <c r="C13" s="218"/>
      <c r="D13" s="218"/>
    </row>
    <row r="14" spans="1:4" ht="21.95" customHeight="1" x14ac:dyDescent="0.3">
      <c r="A14" s="45" t="s">
        <v>258</v>
      </c>
    </row>
    <row r="15" spans="1:4" x14ac:dyDescent="0.3">
      <c r="D15" s="8" t="s">
        <v>2</v>
      </c>
    </row>
    <row r="16" spans="1:4" ht="93.75" x14ac:dyDescent="0.3">
      <c r="A16" s="46" t="s">
        <v>259</v>
      </c>
      <c r="B16" s="229" t="s">
        <v>260</v>
      </c>
      <c r="C16" s="230"/>
      <c r="D16" s="47" t="s">
        <v>5</v>
      </c>
    </row>
    <row r="17" spans="1:7" x14ac:dyDescent="0.3">
      <c r="A17" s="48">
        <v>1</v>
      </c>
      <c r="B17" s="231">
        <v>2</v>
      </c>
      <c r="C17" s="232"/>
      <c r="D17" s="49">
        <v>3</v>
      </c>
    </row>
    <row r="18" spans="1:7" s="25" customFormat="1" x14ac:dyDescent="0.3">
      <c r="A18" s="225" t="s">
        <v>261</v>
      </c>
      <c r="B18" s="225"/>
      <c r="C18" s="225"/>
      <c r="D18" s="225"/>
    </row>
    <row r="19" spans="1:7" ht="27" customHeight="1" x14ac:dyDescent="0.3">
      <c r="A19" s="117" t="s">
        <v>262</v>
      </c>
      <c r="B19" s="118" t="s">
        <v>71</v>
      </c>
      <c r="C19" s="119"/>
      <c r="D19" s="120">
        <f>SUM(D20)</f>
        <v>45062700</v>
      </c>
    </row>
    <row r="20" spans="1:7" x14ac:dyDescent="0.3">
      <c r="A20" s="121">
        <v>9900000000</v>
      </c>
      <c r="B20" s="122" t="s">
        <v>264</v>
      </c>
      <c r="C20" s="123"/>
      <c r="D20" s="124">
        <v>45062700</v>
      </c>
      <c r="G20" s="176"/>
    </row>
    <row r="21" spans="1:7" ht="37.5" x14ac:dyDescent="0.3">
      <c r="A21" s="117">
        <v>41020300</v>
      </c>
      <c r="B21" s="118" t="s">
        <v>468</v>
      </c>
      <c r="C21" s="125"/>
      <c r="D21" s="120">
        <f>SUM(D22)</f>
        <v>1586000</v>
      </c>
    </row>
    <row r="22" spans="1:7" x14ac:dyDescent="0.3">
      <c r="A22" s="121">
        <v>9900000000</v>
      </c>
      <c r="B22" s="122" t="s">
        <v>264</v>
      </c>
      <c r="C22" s="123"/>
      <c r="D22" s="124">
        <v>1586000</v>
      </c>
    </row>
    <row r="23" spans="1:7" ht="91.15" customHeight="1" x14ac:dyDescent="0.3">
      <c r="A23" s="117">
        <v>41021400</v>
      </c>
      <c r="B23" s="226" t="s">
        <v>495</v>
      </c>
      <c r="C23" s="227"/>
      <c r="D23" s="120">
        <f>D24</f>
        <v>508800</v>
      </c>
    </row>
    <row r="24" spans="1:7" x14ac:dyDescent="0.3">
      <c r="A24" s="121" t="s">
        <v>263</v>
      </c>
      <c r="B24" s="122" t="s">
        <v>264</v>
      </c>
      <c r="C24" s="123"/>
      <c r="D24" s="124">
        <f>357700+151100</f>
        <v>508800</v>
      </c>
    </row>
    <row r="25" spans="1:7" ht="37.5" x14ac:dyDescent="0.3">
      <c r="A25" s="117" t="s">
        <v>265</v>
      </c>
      <c r="B25" s="118" t="s">
        <v>73</v>
      </c>
      <c r="C25" s="119"/>
      <c r="D25" s="120">
        <f>SUM(D26)</f>
        <v>19506700</v>
      </c>
    </row>
    <row r="26" spans="1:7" x14ac:dyDescent="0.3">
      <c r="A26" s="121" t="s">
        <v>263</v>
      </c>
      <c r="B26" s="122" t="s">
        <v>264</v>
      </c>
      <c r="C26" s="123"/>
      <c r="D26" s="124">
        <f>12021600+7485100</f>
        <v>19506700</v>
      </c>
    </row>
    <row r="27" spans="1:7" ht="56.25" x14ac:dyDescent="0.3">
      <c r="A27" s="117">
        <v>41035400</v>
      </c>
      <c r="B27" s="118" t="s">
        <v>387</v>
      </c>
      <c r="C27" s="119"/>
      <c r="D27" s="120">
        <f>D28</f>
        <v>10500</v>
      </c>
    </row>
    <row r="28" spans="1:7" x14ac:dyDescent="0.3">
      <c r="A28" s="121" t="s">
        <v>263</v>
      </c>
      <c r="B28" s="122" t="s">
        <v>264</v>
      </c>
      <c r="C28" s="123"/>
      <c r="D28" s="124">
        <v>10500</v>
      </c>
    </row>
    <row r="29" spans="1:7" x14ac:dyDescent="0.3">
      <c r="A29" s="121">
        <v>41036300</v>
      </c>
      <c r="B29" s="226" t="s">
        <v>388</v>
      </c>
      <c r="C29" s="227"/>
      <c r="D29" s="120">
        <f>D30</f>
        <v>1262500</v>
      </c>
    </row>
    <row r="30" spans="1:7" x14ac:dyDescent="0.3">
      <c r="A30" s="121" t="s">
        <v>263</v>
      </c>
      <c r="B30" s="122" t="s">
        <v>264</v>
      </c>
      <c r="C30" s="123"/>
      <c r="D30" s="124">
        <v>1262500</v>
      </c>
    </row>
    <row r="31" spans="1:7" ht="75" hidden="1" x14ac:dyDescent="0.3">
      <c r="A31" s="117" t="s">
        <v>266</v>
      </c>
      <c r="B31" s="118" t="s">
        <v>80</v>
      </c>
      <c r="C31" s="119"/>
      <c r="D31" s="120">
        <f>SUM(D32)</f>
        <v>0</v>
      </c>
    </row>
    <row r="32" spans="1:7" hidden="1" x14ac:dyDescent="0.3">
      <c r="A32" s="137" t="s">
        <v>336</v>
      </c>
      <c r="B32" s="126" t="s">
        <v>268</v>
      </c>
      <c r="C32" s="127"/>
      <c r="D32" s="124"/>
    </row>
    <row r="33" spans="1:7" hidden="1" x14ac:dyDescent="0.3">
      <c r="A33" s="117">
        <v>41040400</v>
      </c>
      <c r="B33" s="118" t="s">
        <v>75</v>
      </c>
      <c r="C33" s="119"/>
      <c r="D33" s="120">
        <f>SUM(D34)</f>
        <v>0</v>
      </c>
    </row>
    <row r="34" spans="1:7" hidden="1" x14ac:dyDescent="0.3">
      <c r="A34" s="137" t="s">
        <v>336</v>
      </c>
      <c r="B34" s="122" t="s">
        <v>268</v>
      </c>
      <c r="C34" s="123"/>
      <c r="D34" s="124">
        <v>0</v>
      </c>
    </row>
    <row r="35" spans="1:7" ht="337.5" hidden="1" x14ac:dyDescent="0.3">
      <c r="A35" s="144" t="s">
        <v>352</v>
      </c>
      <c r="B35" s="122" t="s">
        <v>353</v>
      </c>
      <c r="C35" s="123"/>
      <c r="D35" s="120">
        <f>SUM(D36)</f>
        <v>0</v>
      </c>
    </row>
    <row r="36" spans="1:7" hidden="1" x14ac:dyDescent="0.3">
      <c r="A36" s="121" t="s">
        <v>263</v>
      </c>
      <c r="B36" s="122" t="s">
        <v>264</v>
      </c>
      <c r="C36" s="123"/>
      <c r="D36" s="124">
        <v>0</v>
      </c>
    </row>
    <row r="37" spans="1:7" ht="56.25" hidden="1" x14ac:dyDescent="0.3">
      <c r="A37" s="117">
        <v>41051200</v>
      </c>
      <c r="B37" s="118" t="s">
        <v>309</v>
      </c>
      <c r="C37" s="119"/>
      <c r="D37" s="120">
        <f>SUM(D38)</f>
        <v>0</v>
      </c>
    </row>
    <row r="38" spans="1:7" hidden="1" x14ac:dyDescent="0.3">
      <c r="A38" s="137" t="s">
        <v>336</v>
      </c>
      <c r="B38" s="126" t="s">
        <v>268</v>
      </c>
      <c r="C38" s="127"/>
      <c r="D38" s="128">
        <v>0</v>
      </c>
    </row>
    <row r="39" spans="1:7" ht="37.5" hidden="1" x14ac:dyDescent="0.3">
      <c r="A39" s="144" t="s">
        <v>346</v>
      </c>
      <c r="B39" s="145" t="s">
        <v>345</v>
      </c>
      <c r="C39" s="146"/>
      <c r="D39" s="120">
        <f>SUM(D40)</f>
        <v>0</v>
      </c>
    </row>
    <row r="40" spans="1:7" hidden="1" x14ac:dyDescent="0.3">
      <c r="A40" s="137" t="s">
        <v>336</v>
      </c>
      <c r="B40" s="126" t="s">
        <v>268</v>
      </c>
      <c r="C40" s="127"/>
      <c r="D40" s="128"/>
    </row>
    <row r="41" spans="1:7" hidden="1" x14ac:dyDescent="0.3">
      <c r="A41" s="117">
        <v>41053800</v>
      </c>
      <c r="B41" s="252" t="s">
        <v>419</v>
      </c>
      <c r="C41" s="253"/>
      <c r="D41" s="165">
        <v>0</v>
      </c>
    </row>
    <row r="42" spans="1:7" hidden="1" x14ac:dyDescent="0.3">
      <c r="A42" s="137" t="s">
        <v>420</v>
      </c>
      <c r="B42" s="250" t="s">
        <v>421</v>
      </c>
      <c r="C42" s="251"/>
      <c r="D42" s="128">
        <v>0</v>
      </c>
    </row>
    <row r="43" spans="1:7" hidden="1" x14ac:dyDescent="0.3">
      <c r="A43" s="198" t="s">
        <v>422</v>
      </c>
      <c r="B43" s="250" t="s">
        <v>418</v>
      </c>
      <c r="C43" s="251"/>
      <c r="D43" s="128">
        <f>700000-700000</f>
        <v>0</v>
      </c>
    </row>
    <row r="44" spans="1:7" x14ac:dyDescent="0.3">
      <c r="A44" s="117" t="s">
        <v>269</v>
      </c>
      <c r="B44" s="118" t="s">
        <v>77</v>
      </c>
      <c r="C44" s="119"/>
      <c r="D44" s="120">
        <f>D45</f>
        <v>276026</v>
      </c>
    </row>
    <row r="45" spans="1:7" x14ac:dyDescent="0.3">
      <c r="A45" s="137" t="s">
        <v>336</v>
      </c>
      <c r="B45" s="126" t="s">
        <v>268</v>
      </c>
      <c r="C45" s="127"/>
      <c r="D45" s="128">
        <f>D48+D51+D53+D54+D58+D47</f>
        <v>276026</v>
      </c>
    </row>
    <row r="46" spans="1:7" s="52" customFormat="1" ht="68.25" hidden="1" customHeight="1" x14ac:dyDescent="0.3">
      <c r="A46" s="129" t="s">
        <v>269</v>
      </c>
      <c r="B46" s="244" t="s">
        <v>270</v>
      </c>
      <c r="C46" s="254"/>
      <c r="D46" s="130">
        <v>0</v>
      </c>
      <c r="G46" s="154"/>
    </row>
    <row r="47" spans="1:7" s="52" customFormat="1" ht="109.9" customHeight="1" x14ac:dyDescent="0.3">
      <c r="A47" s="50" t="s">
        <v>269</v>
      </c>
      <c r="B47" s="244" t="s">
        <v>500</v>
      </c>
      <c r="C47" s="241"/>
      <c r="D47" s="130">
        <v>158340</v>
      </c>
      <c r="G47" s="154"/>
    </row>
    <row r="48" spans="1:7" s="52" customFormat="1" ht="167.25" customHeight="1" x14ac:dyDescent="0.3">
      <c r="A48" s="50" t="s">
        <v>269</v>
      </c>
      <c r="B48" s="236" t="s">
        <v>270</v>
      </c>
      <c r="C48" s="237"/>
      <c r="D48" s="51">
        <f>3825+15651</f>
        <v>19476</v>
      </c>
      <c r="G48" s="154"/>
    </row>
    <row r="49" spans="1:9" s="52" customFormat="1" ht="99" hidden="1" customHeight="1" x14ac:dyDescent="0.3">
      <c r="A49" s="50">
        <v>41053900</v>
      </c>
      <c r="B49" s="236" t="s">
        <v>354</v>
      </c>
      <c r="C49" s="241"/>
      <c r="D49" s="51">
        <v>0</v>
      </c>
      <c r="G49" s="154"/>
    </row>
    <row r="50" spans="1:9" s="52" customFormat="1" ht="52.5" hidden="1" customHeight="1" x14ac:dyDescent="0.3">
      <c r="A50" s="158" t="s">
        <v>269</v>
      </c>
      <c r="B50" s="236" t="s">
        <v>271</v>
      </c>
      <c r="C50" s="237"/>
      <c r="D50" s="51">
        <v>0</v>
      </c>
      <c r="G50" s="154"/>
    </row>
    <row r="51" spans="1:9" s="52" customFormat="1" ht="150.75" customHeight="1" x14ac:dyDescent="0.3">
      <c r="A51" s="158">
        <v>41053900</v>
      </c>
      <c r="B51" s="236" t="s">
        <v>469</v>
      </c>
      <c r="C51" s="241"/>
      <c r="D51" s="51">
        <v>12210</v>
      </c>
      <c r="G51" s="154"/>
    </row>
    <row r="52" spans="1:9" s="52" customFormat="1" hidden="1" x14ac:dyDescent="0.3">
      <c r="A52" s="66">
        <v>41059200</v>
      </c>
      <c r="B52" s="242" t="s">
        <v>356</v>
      </c>
      <c r="C52" s="243"/>
      <c r="D52" s="161">
        <v>0</v>
      </c>
      <c r="I52" s="160"/>
    </row>
    <row r="53" spans="1:9" s="52" customFormat="1" ht="78.75" customHeight="1" x14ac:dyDescent="0.3">
      <c r="A53" s="168" t="s">
        <v>269</v>
      </c>
      <c r="B53" s="244" t="s">
        <v>371</v>
      </c>
      <c r="C53" s="245"/>
      <c r="D53" s="167">
        <v>50000</v>
      </c>
    </row>
    <row r="54" spans="1:9" s="52" customFormat="1" ht="80.25" customHeight="1" x14ac:dyDescent="0.3">
      <c r="A54" s="168" t="s">
        <v>269</v>
      </c>
      <c r="B54" s="246" t="s">
        <v>372</v>
      </c>
      <c r="C54" s="247"/>
      <c r="D54" s="167">
        <v>6000</v>
      </c>
    </row>
    <row r="55" spans="1:9" s="52" customFormat="1" ht="80.25" hidden="1" customHeight="1" x14ac:dyDescent="0.3">
      <c r="A55" s="168" t="s">
        <v>269</v>
      </c>
      <c r="B55" s="246" t="s">
        <v>424</v>
      </c>
      <c r="C55" s="247"/>
      <c r="D55" s="167">
        <v>0</v>
      </c>
    </row>
    <row r="56" spans="1:9" s="52" customFormat="1" ht="24.6" hidden="1" customHeight="1" x14ac:dyDescent="0.3">
      <c r="A56" s="117" t="s">
        <v>269</v>
      </c>
      <c r="B56" s="118" t="s">
        <v>77</v>
      </c>
      <c r="C56" s="119"/>
      <c r="D56" s="200">
        <v>0</v>
      </c>
    </row>
    <row r="57" spans="1:9" s="52" customFormat="1" ht="44.45" hidden="1" customHeight="1" x14ac:dyDescent="0.3">
      <c r="A57" s="137" t="s">
        <v>423</v>
      </c>
      <c r="B57" s="250" t="s">
        <v>429</v>
      </c>
      <c r="C57" s="251"/>
      <c r="D57" s="199">
        <v>0</v>
      </c>
    </row>
    <row r="58" spans="1:9" s="52" customFormat="1" ht="88.9" customHeight="1" x14ac:dyDescent="0.3">
      <c r="A58" s="168" t="s">
        <v>269</v>
      </c>
      <c r="B58" s="248" t="s">
        <v>496</v>
      </c>
      <c r="C58" s="249"/>
      <c r="D58" s="159">
        <f>315000-285000</f>
        <v>30000</v>
      </c>
    </row>
    <row r="59" spans="1:9" s="25" customFormat="1" x14ac:dyDescent="0.3">
      <c r="A59" s="238" t="s">
        <v>272</v>
      </c>
      <c r="B59" s="239"/>
      <c r="C59" s="239"/>
      <c r="D59" s="240"/>
    </row>
    <row r="60" spans="1:9" s="25" customFormat="1" ht="64.150000000000006" hidden="1" customHeight="1" x14ac:dyDescent="0.3">
      <c r="A60" s="201">
        <v>41035400</v>
      </c>
      <c r="B60" s="255" t="s">
        <v>387</v>
      </c>
      <c r="C60" s="256"/>
      <c r="D60" s="120">
        <f>SUM(D61)</f>
        <v>0</v>
      </c>
    </row>
    <row r="61" spans="1:9" s="25" customFormat="1" hidden="1" x14ac:dyDescent="0.3">
      <c r="A61" s="121" t="s">
        <v>263</v>
      </c>
      <c r="B61" s="122" t="s">
        <v>264</v>
      </c>
      <c r="C61" s="123"/>
      <c r="D61" s="128">
        <v>0</v>
      </c>
    </row>
    <row r="62" spans="1:9" s="25" customFormat="1" ht="37.5" hidden="1" x14ac:dyDescent="0.3">
      <c r="A62" s="144" t="s">
        <v>346</v>
      </c>
      <c r="B62" s="145" t="s">
        <v>345</v>
      </c>
      <c r="C62" s="146"/>
      <c r="D62" s="120">
        <f>SUM(D63)</f>
        <v>0</v>
      </c>
    </row>
    <row r="63" spans="1:9" s="25" customFormat="1" hidden="1" x14ac:dyDescent="0.3">
      <c r="A63" s="137" t="s">
        <v>336</v>
      </c>
      <c r="B63" s="126" t="s">
        <v>268</v>
      </c>
      <c r="C63" s="127"/>
      <c r="D63" s="128">
        <v>0</v>
      </c>
    </row>
    <row r="64" spans="1:9" s="25" customFormat="1" hidden="1" x14ac:dyDescent="0.3">
      <c r="A64" s="66">
        <v>41059200</v>
      </c>
      <c r="B64" s="242" t="s">
        <v>356</v>
      </c>
      <c r="C64" s="243"/>
      <c r="D64" s="161">
        <v>0</v>
      </c>
    </row>
    <row r="65" spans="1:4" s="25" customFormat="1" hidden="1" x14ac:dyDescent="0.3">
      <c r="A65" s="137" t="s">
        <v>336</v>
      </c>
      <c r="B65" s="126" t="s">
        <v>268</v>
      </c>
      <c r="C65" s="127"/>
      <c r="D65" s="159">
        <v>0</v>
      </c>
    </row>
    <row r="66" spans="1:4" s="25" customFormat="1" hidden="1" x14ac:dyDescent="0.3">
      <c r="A66" s="117">
        <v>41053800</v>
      </c>
      <c r="B66" s="252" t="s">
        <v>419</v>
      </c>
      <c r="C66" s="253"/>
      <c r="D66" s="165"/>
    </row>
    <row r="67" spans="1:4" s="25" customFormat="1" ht="36.6" hidden="1" customHeight="1" x14ac:dyDescent="0.3">
      <c r="A67" s="137" t="s">
        <v>420</v>
      </c>
      <c r="B67" s="250" t="s">
        <v>428</v>
      </c>
      <c r="C67" s="251"/>
      <c r="D67" s="128">
        <v>0</v>
      </c>
    </row>
    <row r="68" spans="1:4" s="25" customFormat="1" ht="94.15" hidden="1" customHeight="1" x14ac:dyDescent="0.3">
      <c r="A68" s="198" t="s">
        <v>422</v>
      </c>
      <c r="B68" s="250" t="s">
        <v>418</v>
      </c>
      <c r="C68" s="251"/>
      <c r="D68" s="128">
        <v>0</v>
      </c>
    </row>
    <row r="69" spans="1:4" x14ac:dyDescent="0.3">
      <c r="A69" s="53" t="s">
        <v>79</v>
      </c>
      <c r="B69" s="54" t="s">
        <v>273</v>
      </c>
      <c r="C69" s="55"/>
      <c r="D69" s="56">
        <f>SUM(D70:D71)</f>
        <v>68213226</v>
      </c>
    </row>
    <row r="70" spans="1:4" x14ac:dyDescent="0.3">
      <c r="A70" s="53" t="s">
        <v>79</v>
      </c>
      <c r="B70" s="54" t="s">
        <v>274</v>
      </c>
      <c r="C70" s="55"/>
      <c r="D70" s="56">
        <f>D19+D21+D25+D31+D44+D27+D29+D41+D23</f>
        <v>68213226</v>
      </c>
    </row>
    <row r="71" spans="1:4" x14ac:dyDescent="0.3">
      <c r="A71" s="53" t="s">
        <v>79</v>
      </c>
      <c r="B71" s="54" t="s">
        <v>275</v>
      </c>
      <c r="C71" s="55"/>
      <c r="D71" s="56">
        <f>D63+D66+D60</f>
        <v>0</v>
      </c>
    </row>
    <row r="73" spans="1:4" x14ac:dyDescent="0.3">
      <c r="A73" s="45" t="s">
        <v>276</v>
      </c>
      <c r="D73" s="8" t="s">
        <v>2</v>
      </c>
    </row>
    <row r="74" spans="1:4" ht="150" x14ac:dyDescent="0.3">
      <c r="A74" s="57" t="s">
        <v>277</v>
      </c>
      <c r="B74" s="57" t="s">
        <v>278</v>
      </c>
      <c r="C74" s="57" t="s">
        <v>279</v>
      </c>
      <c r="D74" s="57" t="s">
        <v>5</v>
      </c>
    </row>
    <row r="75" spans="1:4" x14ac:dyDescent="0.3">
      <c r="A75" s="58">
        <v>1</v>
      </c>
      <c r="B75" s="58">
        <v>2</v>
      </c>
      <c r="C75" s="58">
        <v>3</v>
      </c>
      <c r="D75" s="58">
        <v>4</v>
      </c>
    </row>
    <row r="76" spans="1:4" s="25" customFormat="1" x14ac:dyDescent="0.3">
      <c r="A76" s="234" t="s">
        <v>280</v>
      </c>
      <c r="B76" s="234"/>
      <c r="C76" s="234"/>
      <c r="D76" s="234"/>
    </row>
    <row r="77" spans="1:4" hidden="1" x14ac:dyDescent="0.3">
      <c r="A77" s="59" t="s">
        <v>255</v>
      </c>
      <c r="B77" s="59" t="s">
        <v>256</v>
      </c>
      <c r="C77" s="60" t="s">
        <v>77</v>
      </c>
      <c r="D77" s="61">
        <f>D78</f>
        <v>0</v>
      </c>
    </row>
    <row r="78" spans="1:4" hidden="1" x14ac:dyDescent="0.3">
      <c r="A78" s="62" t="s">
        <v>263</v>
      </c>
      <c r="B78" s="62" t="s">
        <v>129</v>
      </c>
      <c r="C78" s="63" t="s">
        <v>264</v>
      </c>
      <c r="D78" s="64">
        <f>SUM(D79:D81)</f>
        <v>0</v>
      </c>
    </row>
    <row r="79" spans="1:4" ht="225" hidden="1" x14ac:dyDescent="0.3">
      <c r="A79" s="62"/>
      <c r="B79" s="62"/>
      <c r="C79" s="65" t="s">
        <v>281</v>
      </c>
      <c r="D79" s="64"/>
    </row>
    <row r="80" spans="1:4" ht="131.25" hidden="1" x14ac:dyDescent="0.3">
      <c r="A80" s="62"/>
      <c r="B80" s="62"/>
      <c r="C80" s="65" t="s">
        <v>282</v>
      </c>
      <c r="D80" s="64"/>
    </row>
    <row r="81" spans="1:14" ht="131.25" hidden="1" x14ac:dyDescent="0.3">
      <c r="A81" s="62"/>
      <c r="B81" s="62"/>
      <c r="C81" s="65" t="s">
        <v>283</v>
      </c>
      <c r="D81" s="64"/>
    </row>
    <row r="82" spans="1:14" x14ac:dyDescent="0.3">
      <c r="A82" s="59" t="s">
        <v>255</v>
      </c>
      <c r="B82" s="59" t="s">
        <v>256</v>
      </c>
      <c r="C82" s="60" t="s">
        <v>77</v>
      </c>
      <c r="D82" s="61">
        <f>D83+D87+D93+D96</f>
        <v>3919156.31</v>
      </c>
    </row>
    <row r="83" spans="1:14" ht="19.5" x14ac:dyDescent="0.3">
      <c r="A83" s="169" t="s">
        <v>267</v>
      </c>
      <c r="B83" s="169" t="s">
        <v>256</v>
      </c>
      <c r="C83" s="170" t="s">
        <v>268</v>
      </c>
      <c r="D83" s="184">
        <f>D84+D85</f>
        <v>1486600</v>
      </c>
    </row>
    <row r="84" spans="1:14" ht="93.75" hidden="1" x14ac:dyDescent="0.3">
      <c r="A84" s="169"/>
      <c r="B84" s="169"/>
      <c r="C84" s="172" t="s">
        <v>457</v>
      </c>
      <c r="D84" s="171">
        <f>950800-950800</f>
        <v>0</v>
      </c>
    </row>
    <row r="85" spans="1:14" s="98" customFormat="1" ht="81" customHeight="1" x14ac:dyDescent="0.3">
      <c r="A85" s="109" t="s">
        <v>323</v>
      </c>
      <c r="B85" s="110">
        <v>9770</v>
      </c>
      <c r="C85" s="213" t="s">
        <v>498</v>
      </c>
      <c r="D85" s="116">
        <f>535800+950800</f>
        <v>1486600</v>
      </c>
    </row>
    <row r="86" spans="1:14" s="98" customFormat="1" hidden="1" x14ac:dyDescent="0.3">
      <c r="A86" s="169"/>
      <c r="B86" s="169"/>
      <c r="C86" s="170"/>
      <c r="D86" s="116"/>
    </row>
    <row r="87" spans="1:14" s="103" customFormat="1" ht="39" x14ac:dyDescent="0.35">
      <c r="A87" s="99" t="s">
        <v>337</v>
      </c>
      <c r="B87" s="100">
        <v>9770</v>
      </c>
      <c r="C87" s="101" t="s">
        <v>284</v>
      </c>
      <c r="D87" s="102">
        <f>D89+D90+D91+D92</f>
        <v>120600</v>
      </c>
    </row>
    <row r="88" spans="1:14" s="108" customFormat="1" x14ac:dyDescent="0.3">
      <c r="A88" s="104"/>
      <c r="B88" s="105"/>
      <c r="C88" s="106" t="s">
        <v>324</v>
      </c>
      <c r="D88" s="107"/>
      <c r="E88" s="98"/>
      <c r="L88" s="98"/>
      <c r="N88" s="98"/>
    </row>
    <row r="89" spans="1:14" s="113" customFormat="1" ht="75" x14ac:dyDescent="0.3">
      <c r="A89" s="173" t="s">
        <v>323</v>
      </c>
      <c r="B89" s="174">
        <v>9770</v>
      </c>
      <c r="C89" s="175" t="s">
        <v>442</v>
      </c>
      <c r="D89" s="116">
        <v>100600</v>
      </c>
    </row>
    <row r="90" spans="1:14" s="113" customFormat="1" ht="63" hidden="1" customHeight="1" x14ac:dyDescent="0.25">
      <c r="A90" s="109" t="s">
        <v>323</v>
      </c>
      <c r="B90" s="110">
        <v>9770</v>
      </c>
      <c r="C90" s="111" t="s">
        <v>363</v>
      </c>
      <c r="D90" s="112">
        <v>0</v>
      </c>
    </row>
    <row r="91" spans="1:14" s="113" customFormat="1" ht="111.75" customHeight="1" x14ac:dyDescent="0.3">
      <c r="A91" s="173" t="s">
        <v>323</v>
      </c>
      <c r="B91" s="174">
        <v>9770</v>
      </c>
      <c r="C91" s="175" t="s">
        <v>443</v>
      </c>
      <c r="D91" s="116">
        <v>20000</v>
      </c>
    </row>
    <row r="92" spans="1:14" s="113" customFormat="1" ht="171" hidden="1" customHeight="1" x14ac:dyDescent="0.3">
      <c r="A92" s="173" t="s">
        <v>323</v>
      </c>
      <c r="B92" s="174">
        <v>9770</v>
      </c>
      <c r="C92" s="175" t="s">
        <v>375</v>
      </c>
      <c r="D92" s="116">
        <v>0</v>
      </c>
    </row>
    <row r="93" spans="1:14" s="113" customFormat="1" ht="38.25" customHeight="1" x14ac:dyDescent="0.35">
      <c r="A93" s="99" t="s">
        <v>373</v>
      </c>
      <c r="B93" s="100">
        <v>9770</v>
      </c>
      <c r="C93" s="101" t="s">
        <v>374</v>
      </c>
      <c r="D93" s="102">
        <f>D94</f>
        <v>2226400</v>
      </c>
    </row>
    <row r="94" spans="1:14" s="113" customFormat="1" ht="87.75" customHeight="1" x14ac:dyDescent="0.3">
      <c r="A94" s="173" t="s">
        <v>323</v>
      </c>
      <c r="B94" s="174">
        <v>9770</v>
      </c>
      <c r="C94" s="175" t="s">
        <v>458</v>
      </c>
      <c r="D94" s="116">
        <f>2060700+165700</f>
        <v>2226400</v>
      </c>
    </row>
    <row r="95" spans="1:14" s="113" customFormat="1" ht="99.6" hidden="1" customHeight="1" x14ac:dyDescent="0.3">
      <c r="A95" s="173" t="s">
        <v>323</v>
      </c>
      <c r="B95" s="174">
        <v>9770</v>
      </c>
      <c r="C95" s="175" t="s">
        <v>413</v>
      </c>
      <c r="D95" s="116">
        <v>0</v>
      </c>
    </row>
    <row r="96" spans="1:14" s="113" customFormat="1" ht="39" x14ac:dyDescent="0.35">
      <c r="A96" s="99" t="s">
        <v>485</v>
      </c>
      <c r="B96" s="100">
        <v>9770</v>
      </c>
      <c r="C96" s="101" t="s">
        <v>486</v>
      </c>
      <c r="D96" s="102">
        <f>D97</f>
        <v>85556.31</v>
      </c>
    </row>
    <row r="97" spans="1:14" s="113" customFormat="1" ht="75" x14ac:dyDescent="0.3">
      <c r="A97" s="173" t="s">
        <v>323</v>
      </c>
      <c r="B97" s="174">
        <v>9770</v>
      </c>
      <c r="C97" s="175" t="s">
        <v>494</v>
      </c>
      <c r="D97" s="116">
        <v>85556.31</v>
      </c>
    </row>
    <row r="98" spans="1:14" s="113" customFormat="1" ht="19.5" x14ac:dyDescent="0.3">
      <c r="A98" s="94" t="s">
        <v>325</v>
      </c>
      <c r="B98" s="95">
        <v>9150</v>
      </c>
      <c r="C98" s="96" t="s">
        <v>75</v>
      </c>
      <c r="D98" s="102">
        <f>D101+D103+D107</f>
        <v>5029900</v>
      </c>
    </row>
    <row r="99" spans="1:14" s="113" customFormat="1" ht="24.75" hidden="1" customHeight="1" x14ac:dyDescent="0.25">
      <c r="A99" s="182" t="s">
        <v>267</v>
      </c>
      <c r="B99" s="182">
        <v>9150</v>
      </c>
      <c r="C99" s="183" t="s">
        <v>268</v>
      </c>
      <c r="D99" s="102">
        <v>2053200</v>
      </c>
    </row>
    <row r="100" spans="1:14" s="113" customFormat="1" ht="112.5" hidden="1" x14ac:dyDescent="0.25">
      <c r="A100" s="169"/>
      <c r="B100" s="169"/>
      <c r="C100" s="181" t="s">
        <v>392</v>
      </c>
      <c r="D100" s="116">
        <v>0</v>
      </c>
    </row>
    <row r="101" spans="1:14" s="113" customFormat="1" ht="19.5" x14ac:dyDescent="0.25">
      <c r="A101" s="182" t="s">
        <v>267</v>
      </c>
      <c r="B101" s="182">
        <v>9150</v>
      </c>
      <c r="C101" s="183" t="s">
        <v>268</v>
      </c>
      <c r="D101" s="102">
        <f>D102</f>
        <v>4799900</v>
      </c>
    </row>
    <row r="102" spans="1:14" s="113" customFormat="1" ht="56.25" x14ac:dyDescent="0.3">
      <c r="A102" s="94"/>
      <c r="B102" s="95"/>
      <c r="C102" s="175" t="s">
        <v>430</v>
      </c>
      <c r="D102" s="97">
        <v>4799900</v>
      </c>
    </row>
    <row r="103" spans="1:14" s="114" customFormat="1" ht="39" x14ac:dyDescent="0.35">
      <c r="A103" s="99" t="s">
        <v>337</v>
      </c>
      <c r="B103" s="100">
        <v>9150</v>
      </c>
      <c r="C103" s="101" t="s">
        <v>284</v>
      </c>
      <c r="D103" s="102">
        <f>SUM(D105:D106)</f>
        <v>180000</v>
      </c>
    </row>
    <row r="104" spans="1:14" s="113" customFormat="1" x14ac:dyDescent="0.3">
      <c r="A104" s="104"/>
      <c r="B104" s="105"/>
      <c r="C104" s="106" t="s">
        <v>324</v>
      </c>
      <c r="D104" s="107"/>
    </row>
    <row r="105" spans="1:14" s="113" customFormat="1" ht="281.25" x14ac:dyDescent="0.3">
      <c r="A105" s="173" t="s">
        <v>325</v>
      </c>
      <c r="B105" s="174">
        <v>9150</v>
      </c>
      <c r="C105" s="175" t="s">
        <v>444</v>
      </c>
      <c r="D105" s="107">
        <v>150000</v>
      </c>
    </row>
    <row r="106" spans="1:14" s="113" customFormat="1" ht="77.25" customHeight="1" x14ac:dyDescent="0.3">
      <c r="A106" s="173" t="s">
        <v>325</v>
      </c>
      <c r="B106" s="174">
        <v>9150</v>
      </c>
      <c r="C106" s="175" t="s">
        <v>445</v>
      </c>
      <c r="D106" s="107">
        <v>30000</v>
      </c>
    </row>
    <row r="107" spans="1:14" s="113" customFormat="1" ht="77.25" customHeight="1" x14ac:dyDescent="0.35">
      <c r="A107" s="99" t="s">
        <v>499</v>
      </c>
      <c r="B107" s="100">
        <v>9150</v>
      </c>
      <c r="C107" s="101" t="s">
        <v>486</v>
      </c>
      <c r="D107" s="97">
        <v>50000</v>
      </c>
    </row>
    <row r="108" spans="1:14" s="113" customFormat="1" ht="17.45" customHeight="1" x14ac:dyDescent="0.3">
      <c r="A108" s="104"/>
      <c r="B108" s="105"/>
      <c r="C108" s="106" t="s">
        <v>324</v>
      </c>
      <c r="D108" s="107">
        <v>50000</v>
      </c>
    </row>
    <row r="109" spans="1:14" s="113" customFormat="1" ht="160.9" customHeight="1" x14ac:dyDescent="0.3">
      <c r="A109" s="173"/>
      <c r="B109" s="174"/>
      <c r="C109" s="175" t="s">
        <v>501</v>
      </c>
      <c r="D109" s="107">
        <v>50000</v>
      </c>
    </row>
    <row r="110" spans="1:14" s="98" customFormat="1" ht="75" x14ac:dyDescent="0.3">
      <c r="A110" s="94" t="s">
        <v>326</v>
      </c>
      <c r="B110" s="95">
        <v>9800</v>
      </c>
      <c r="C110" s="96" t="s">
        <v>131</v>
      </c>
      <c r="D110" s="97">
        <f>D111</f>
        <v>700000</v>
      </c>
    </row>
    <row r="111" spans="1:14" s="103" customFormat="1" ht="19.5" x14ac:dyDescent="0.35">
      <c r="A111" s="99" t="s">
        <v>338</v>
      </c>
      <c r="B111" s="100">
        <v>9800</v>
      </c>
      <c r="C111" s="101" t="s">
        <v>264</v>
      </c>
      <c r="D111" s="102">
        <f>D113+D114+D115+D125</f>
        <v>700000</v>
      </c>
    </row>
    <row r="112" spans="1:14" s="108" customFormat="1" x14ac:dyDescent="0.3">
      <c r="A112" s="104"/>
      <c r="B112" s="105"/>
      <c r="C112" s="106" t="s">
        <v>324</v>
      </c>
      <c r="D112" s="107"/>
      <c r="E112" s="98"/>
      <c r="L112" s="98"/>
      <c r="N112" s="98"/>
    </row>
    <row r="113" spans="1:14" s="113" customFormat="1" ht="79.5" x14ac:dyDescent="0.3">
      <c r="A113" s="104" t="s">
        <v>326</v>
      </c>
      <c r="B113" s="115">
        <v>9800</v>
      </c>
      <c r="C113" s="111" t="s">
        <v>476</v>
      </c>
      <c r="D113" s="159">
        <v>200000</v>
      </c>
    </row>
    <row r="114" spans="1:14" s="113" customFormat="1" ht="63" x14ac:dyDescent="0.25">
      <c r="A114" s="109" t="s">
        <v>326</v>
      </c>
      <c r="B114" s="110">
        <v>9800</v>
      </c>
      <c r="C114" s="111" t="s">
        <v>491</v>
      </c>
      <c r="D114" s="116">
        <v>450000</v>
      </c>
    </row>
    <row r="115" spans="1:14" s="113" customFormat="1" ht="158.25" hidden="1" x14ac:dyDescent="0.3">
      <c r="A115" s="173" t="s">
        <v>326</v>
      </c>
      <c r="B115" s="174">
        <v>9800</v>
      </c>
      <c r="C115" s="111" t="s">
        <v>411</v>
      </c>
      <c r="D115" s="163">
        <v>0</v>
      </c>
    </row>
    <row r="116" spans="1:14" s="25" customFormat="1" hidden="1" x14ac:dyDescent="0.3">
      <c r="A116" s="234" t="s">
        <v>285</v>
      </c>
      <c r="B116" s="234"/>
      <c r="C116" s="234"/>
      <c r="D116" s="235"/>
    </row>
    <row r="117" spans="1:14" ht="75" hidden="1" x14ac:dyDescent="0.3">
      <c r="A117" s="66" t="s">
        <v>128</v>
      </c>
      <c r="B117" s="66" t="s">
        <v>129</v>
      </c>
      <c r="C117" s="67" t="s">
        <v>131</v>
      </c>
      <c r="D117" s="61">
        <v>0</v>
      </c>
    </row>
    <row r="118" spans="1:14" ht="19.5" hidden="1" x14ac:dyDescent="0.35">
      <c r="A118" s="99" t="s">
        <v>338</v>
      </c>
      <c r="B118" s="100">
        <v>9800</v>
      </c>
      <c r="C118" s="101" t="s">
        <v>264</v>
      </c>
      <c r="D118" s="64">
        <v>0</v>
      </c>
    </row>
    <row r="119" spans="1:14" hidden="1" x14ac:dyDescent="0.3">
      <c r="A119" s="104"/>
      <c r="B119" s="105"/>
      <c r="C119" s="106" t="s">
        <v>324</v>
      </c>
      <c r="D119" s="61">
        <v>0</v>
      </c>
    </row>
    <row r="120" spans="1:14" ht="79.5" hidden="1" x14ac:dyDescent="0.3">
      <c r="A120" s="104" t="s">
        <v>326</v>
      </c>
      <c r="B120" s="115">
        <v>9800</v>
      </c>
      <c r="C120" s="111" t="s">
        <v>476</v>
      </c>
      <c r="D120" s="159">
        <v>0</v>
      </c>
    </row>
    <row r="121" spans="1:14" s="98" customFormat="1" ht="75" hidden="1" x14ac:dyDescent="0.3">
      <c r="A121" s="94" t="s">
        <v>326</v>
      </c>
      <c r="B121" s="95">
        <v>9800</v>
      </c>
      <c r="C121" s="96" t="s">
        <v>131</v>
      </c>
      <c r="D121" s="97">
        <f>D122</f>
        <v>0</v>
      </c>
    </row>
    <row r="122" spans="1:14" s="98" customFormat="1" ht="19.5" hidden="1" x14ac:dyDescent="0.35">
      <c r="A122" s="99" t="s">
        <v>338</v>
      </c>
      <c r="B122" s="100">
        <v>9800</v>
      </c>
      <c r="C122" s="101" t="s">
        <v>264</v>
      </c>
      <c r="D122" s="97">
        <f>SUM(D124)</f>
        <v>0</v>
      </c>
    </row>
    <row r="123" spans="1:14" s="108" customFormat="1" hidden="1" x14ac:dyDescent="0.3">
      <c r="A123" s="104"/>
      <c r="B123" s="105"/>
      <c r="C123" s="106" t="s">
        <v>324</v>
      </c>
      <c r="D123" s="107"/>
      <c r="E123" s="98"/>
      <c r="L123" s="98"/>
      <c r="N123" s="98"/>
    </row>
    <row r="124" spans="1:14" s="108" customFormat="1" ht="63.75" hidden="1" x14ac:dyDescent="0.3">
      <c r="A124" s="104" t="s">
        <v>326</v>
      </c>
      <c r="B124" s="115">
        <v>9800</v>
      </c>
      <c r="C124" s="111" t="s">
        <v>491</v>
      </c>
      <c r="D124" s="116">
        <v>0</v>
      </c>
      <c r="E124" s="98"/>
      <c r="L124" s="98"/>
      <c r="N124" s="98"/>
    </row>
    <row r="125" spans="1:14" s="108" customFormat="1" ht="126.75" x14ac:dyDescent="0.3">
      <c r="A125" s="109" t="s">
        <v>326</v>
      </c>
      <c r="B125" s="110">
        <v>9800</v>
      </c>
      <c r="C125" s="111" t="s">
        <v>507</v>
      </c>
      <c r="D125" s="116">
        <v>50000</v>
      </c>
      <c r="E125" s="98"/>
      <c r="L125" s="98"/>
      <c r="N125" s="98"/>
    </row>
    <row r="126" spans="1:14" x14ac:dyDescent="0.3">
      <c r="A126" s="68" t="s">
        <v>79</v>
      </c>
      <c r="B126" s="68" t="s">
        <v>79</v>
      </c>
      <c r="C126" s="54" t="s">
        <v>273</v>
      </c>
      <c r="D126" s="69">
        <f>D127+D128</f>
        <v>9649056.3100000005</v>
      </c>
    </row>
    <row r="127" spans="1:14" x14ac:dyDescent="0.3">
      <c r="A127" s="68" t="s">
        <v>79</v>
      </c>
      <c r="B127" s="68" t="s">
        <v>79</v>
      </c>
      <c r="C127" s="54" t="s">
        <v>274</v>
      </c>
      <c r="D127" s="69">
        <f>D110+D98+D82</f>
        <v>9649056.3100000005</v>
      </c>
    </row>
    <row r="128" spans="1:14" x14ac:dyDescent="0.3">
      <c r="A128" s="68" t="s">
        <v>79</v>
      </c>
      <c r="B128" s="68" t="s">
        <v>79</v>
      </c>
      <c r="C128" s="54" t="s">
        <v>275</v>
      </c>
      <c r="D128" s="69">
        <f>SUM(D117+D119+D121)</f>
        <v>0</v>
      </c>
    </row>
    <row r="129" spans="1:7" x14ac:dyDescent="0.3">
      <c r="G129" s="176"/>
    </row>
    <row r="131" spans="1:7" x14ac:dyDescent="0.3">
      <c r="A131" s="7" t="s">
        <v>81</v>
      </c>
      <c r="D131" s="7" t="s">
        <v>82</v>
      </c>
    </row>
    <row r="132" spans="1:7" x14ac:dyDescent="0.3">
      <c r="A132" s="26"/>
      <c r="D132" s="26"/>
    </row>
    <row r="135" spans="1:7" x14ac:dyDescent="0.3">
      <c r="A135" s="26"/>
      <c r="D135" s="177"/>
    </row>
    <row r="136" spans="1:7" x14ac:dyDescent="0.3">
      <c r="A136" s="26"/>
      <c r="D136" s="26"/>
    </row>
  </sheetData>
  <mergeCells count="36">
    <mergeCell ref="B66:C66"/>
    <mergeCell ref="B41:C41"/>
    <mergeCell ref="B42:C42"/>
    <mergeCell ref="B43:C43"/>
    <mergeCell ref="B46:C46"/>
    <mergeCell ref="B60:C60"/>
    <mergeCell ref="B47:C47"/>
    <mergeCell ref="A116:D116"/>
    <mergeCell ref="B48:C48"/>
    <mergeCell ref="B50:C50"/>
    <mergeCell ref="A59:D59"/>
    <mergeCell ref="A76:D76"/>
    <mergeCell ref="B49:C49"/>
    <mergeCell ref="B52:C52"/>
    <mergeCell ref="B64:C64"/>
    <mergeCell ref="B51:C51"/>
    <mergeCell ref="B53:C53"/>
    <mergeCell ref="B54:C54"/>
    <mergeCell ref="B58:C58"/>
    <mergeCell ref="B67:C67"/>
    <mergeCell ref="B68:C68"/>
    <mergeCell ref="B57:C57"/>
    <mergeCell ref="B55:C55"/>
    <mergeCell ref="C1:D1"/>
    <mergeCell ref="C2:D2"/>
    <mergeCell ref="C3:D3"/>
    <mergeCell ref="C4:D4"/>
    <mergeCell ref="C5:D5"/>
    <mergeCell ref="A18:D18"/>
    <mergeCell ref="B23:C23"/>
    <mergeCell ref="B29:C29"/>
    <mergeCell ref="A11:D11"/>
    <mergeCell ref="A12:D12"/>
    <mergeCell ref="A13:D13"/>
    <mergeCell ref="B16:C16"/>
    <mergeCell ref="B17:C17"/>
  </mergeCells>
  <printOptions horizontalCentered="1"/>
  <pageMargins left="0.39370078740157483" right="0.19685039370078741" top="0.39370078740157483" bottom="0.39370078740157483" header="0" footer="0"/>
  <pageSetup paperSize="9" scale="48" fitToHeight="2"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pageSetUpPr fitToPage="1"/>
  </sheetPr>
  <dimension ref="A1:J109"/>
  <sheetViews>
    <sheetView zoomScale="60" zoomScaleNormal="60" workbookViewId="0">
      <selection activeCell="G10" sqref="G10"/>
    </sheetView>
  </sheetViews>
  <sheetFormatPr defaultColWidth="9.140625" defaultRowHeight="18.75" x14ac:dyDescent="0.3"/>
  <cols>
    <col min="1" max="1" width="17.42578125" style="70" customWidth="1"/>
    <col min="2" max="2" width="16.85546875" style="70" customWidth="1"/>
    <col min="3" max="3" width="20" style="70" customWidth="1"/>
    <col min="4" max="5" width="40.7109375" style="70" customWidth="1"/>
    <col min="6" max="6" width="21.85546875" style="70" customWidth="1"/>
    <col min="7" max="7" width="21.140625" style="70" customWidth="1"/>
    <col min="8" max="8" width="21.5703125" style="70" customWidth="1"/>
    <col min="9" max="9" width="16.42578125" style="70" bestFit="1" customWidth="1"/>
    <col min="10" max="10" width="15.7109375" style="70" customWidth="1"/>
    <col min="11" max="16384" width="9.140625" style="70"/>
  </cols>
  <sheetData>
    <row r="1" spans="1:10" x14ac:dyDescent="0.3">
      <c r="G1" s="70" t="s">
        <v>329</v>
      </c>
    </row>
    <row r="2" spans="1:10" x14ac:dyDescent="0.3">
      <c r="G2" s="70" t="s">
        <v>305</v>
      </c>
    </row>
    <row r="3" spans="1:10" x14ac:dyDescent="0.3">
      <c r="B3" s="70" t="s">
        <v>412</v>
      </c>
      <c r="G3" s="70" t="s">
        <v>86</v>
      </c>
    </row>
    <row r="4" spans="1:10" x14ac:dyDescent="0.3">
      <c r="G4" s="70" t="s">
        <v>87</v>
      </c>
    </row>
    <row r="5" spans="1:10" x14ac:dyDescent="0.3">
      <c r="G5" s="70" t="s">
        <v>472</v>
      </c>
    </row>
    <row r="6" spans="1:10" s="93" customFormat="1" hidden="1" x14ac:dyDescent="0.3">
      <c r="H6" s="70"/>
    </row>
    <row r="7" spans="1:10" s="93" customFormat="1" x14ac:dyDescent="0.3">
      <c r="G7" s="7" t="s">
        <v>474</v>
      </c>
      <c r="H7" s="7"/>
      <c r="I7" s="7"/>
    </row>
    <row r="8" spans="1:10" s="93" customFormat="1" x14ac:dyDescent="0.3">
      <c r="G8" s="7" t="s">
        <v>86</v>
      </c>
      <c r="H8" s="7"/>
      <c r="I8" s="7"/>
    </row>
    <row r="9" spans="1:10" s="93" customFormat="1" x14ac:dyDescent="0.3">
      <c r="G9" s="7" t="s">
        <v>517</v>
      </c>
      <c r="H9" s="7"/>
      <c r="I9" s="7"/>
    </row>
    <row r="10" spans="1:10" s="93" customFormat="1" x14ac:dyDescent="0.3">
      <c r="G10" s="7" t="s">
        <v>516</v>
      </c>
      <c r="H10" s="7"/>
      <c r="I10" s="7"/>
    </row>
    <row r="11" spans="1:10" x14ac:dyDescent="0.3">
      <c r="A11" s="258"/>
      <c r="B11" s="259"/>
      <c r="C11" s="259"/>
      <c r="D11" s="259"/>
      <c r="E11" s="259"/>
      <c r="F11" s="259"/>
      <c r="G11" s="259"/>
      <c r="H11" s="259"/>
      <c r="I11" s="259"/>
      <c r="J11" s="259"/>
    </row>
    <row r="12" spans="1:10" ht="36" customHeight="1" x14ac:dyDescent="0.3">
      <c r="A12" s="257" t="s">
        <v>447</v>
      </c>
      <c r="B12" s="257"/>
      <c r="C12" s="257"/>
      <c r="D12" s="257"/>
      <c r="E12" s="257"/>
      <c r="F12" s="257"/>
      <c r="G12" s="257"/>
      <c r="H12" s="257"/>
      <c r="I12" s="257"/>
      <c r="J12" s="257"/>
    </row>
    <row r="13" spans="1:10" x14ac:dyDescent="0.3">
      <c r="A13" s="71" t="s">
        <v>89</v>
      </c>
    </row>
    <row r="14" spans="1:10" x14ac:dyDescent="0.3">
      <c r="A14" s="70" t="s">
        <v>1</v>
      </c>
      <c r="J14" s="72" t="s">
        <v>90</v>
      </c>
    </row>
    <row r="15" spans="1:10" x14ac:dyDescent="0.3">
      <c r="A15" s="260" t="s">
        <v>91</v>
      </c>
      <c r="B15" s="260" t="s">
        <v>92</v>
      </c>
      <c r="C15" s="260" t="s">
        <v>93</v>
      </c>
      <c r="D15" s="260" t="s">
        <v>94</v>
      </c>
      <c r="E15" s="260" t="s">
        <v>287</v>
      </c>
      <c r="F15" s="260" t="s">
        <v>288</v>
      </c>
      <c r="G15" s="260" t="s">
        <v>5</v>
      </c>
      <c r="H15" s="260" t="s">
        <v>6</v>
      </c>
      <c r="I15" s="260" t="s">
        <v>7</v>
      </c>
      <c r="J15" s="260"/>
    </row>
    <row r="16" spans="1:10" ht="151.5" customHeight="1" x14ac:dyDescent="0.3">
      <c r="A16" s="260"/>
      <c r="B16" s="260"/>
      <c r="C16" s="260"/>
      <c r="D16" s="260"/>
      <c r="E16" s="260"/>
      <c r="F16" s="260"/>
      <c r="G16" s="260"/>
      <c r="H16" s="260"/>
      <c r="I16" s="86" t="s">
        <v>8</v>
      </c>
      <c r="J16" s="86" t="s">
        <v>9</v>
      </c>
    </row>
    <row r="17" spans="1:10" x14ac:dyDescent="0.3">
      <c r="A17" s="86">
        <v>1</v>
      </c>
      <c r="B17" s="86">
        <v>2</v>
      </c>
      <c r="C17" s="86">
        <v>3</v>
      </c>
      <c r="D17" s="86">
        <v>4</v>
      </c>
      <c r="E17" s="86">
        <v>5</v>
      </c>
      <c r="F17" s="86">
        <v>6</v>
      </c>
      <c r="G17" s="86">
        <v>7</v>
      </c>
      <c r="H17" s="86">
        <v>8</v>
      </c>
      <c r="I17" s="82">
        <v>9</v>
      </c>
      <c r="J17" s="82">
        <v>10</v>
      </c>
    </row>
    <row r="18" spans="1:10" ht="75" x14ac:dyDescent="0.3">
      <c r="A18" s="147">
        <v>5000000</v>
      </c>
      <c r="B18" s="73" t="s">
        <v>286</v>
      </c>
      <c r="C18" s="73" t="s">
        <v>286</v>
      </c>
      <c r="D18" s="74" t="s">
        <v>402</v>
      </c>
      <c r="E18" s="74" t="s">
        <v>286</v>
      </c>
      <c r="F18" s="74" t="s">
        <v>286</v>
      </c>
      <c r="G18" s="75">
        <f>SUM(H18+I18)</f>
        <v>400000</v>
      </c>
      <c r="H18" s="75">
        <f t="shared" ref="H18:J19" si="0">SUM(H19)</f>
        <v>400000</v>
      </c>
      <c r="I18" s="75">
        <f t="shared" si="0"/>
        <v>0</v>
      </c>
      <c r="J18" s="75">
        <f t="shared" si="0"/>
        <v>0</v>
      </c>
    </row>
    <row r="19" spans="1:10" ht="75" x14ac:dyDescent="0.3">
      <c r="A19" s="147">
        <v>5010000</v>
      </c>
      <c r="B19" s="73" t="s">
        <v>286</v>
      </c>
      <c r="C19" s="73" t="s">
        <v>286</v>
      </c>
      <c r="D19" s="74" t="s">
        <v>402</v>
      </c>
      <c r="E19" s="74" t="s">
        <v>286</v>
      </c>
      <c r="F19" s="74" t="s">
        <v>286</v>
      </c>
      <c r="G19" s="75">
        <f t="shared" ref="G19:G20" si="1">SUM(H19+I19)</f>
        <v>400000</v>
      </c>
      <c r="H19" s="75">
        <f t="shared" si="0"/>
        <v>400000</v>
      </c>
      <c r="I19" s="75">
        <f t="shared" si="0"/>
        <v>0</v>
      </c>
      <c r="J19" s="75">
        <f t="shared" si="0"/>
        <v>0</v>
      </c>
    </row>
    <row r="20" spans="1:10" ht="131.25" customHeight="1" x14ac:dyDescent="0.3">
      <c r="A20" s="79">
        <v>5018110</v>
      </c>
      <c r="B20" s="76" t="s">
        <v>125</v>
      </c>
      <c r="C20" s="76" t="s">
        <v>126</v>
      </c>
      <c r="D20" s="77" t="s">
        <v>127</v>
      </c>
      <c r="E20" s="77" t="s">
        <v>463</v>
      </c>
      <c r="F20" s="77" t="s">
        <v>503</v>
      </c>
      <c r="G20" s="75">
        <f t="shared" si="1"/>
        <v>400000</v>
      </c>
      <c r="H20" s="78">
        <v>400000</v>
      </c>
      <c r="I20" s="82"/>
      <c r="J20" s="82"/>
    </row>
    <row r="21" spans="1:10" ht="56.25" x14ac:dyDescent="0.3">
      <c r="A21" s="73" t="s">
        <v>104</v>
      </c>
      <c r="B21" s="73" t="s">
        <v>286</v>
      </c>
      <c r="C21" s="73" t="s">
        <v>286</v>
      </c>
      <c r="D21" s="74" t="s">
        <v>403</v>
      </c>
      <c r="E21" s="74" t="s">
        <v>286</v>
      </c>
      <c r="F21" s="74" t="s">
        <v>286</v>
      </c>
      <c r="G21" s="75">
        <f>SUM(H21+I21)</f>
        <v>2070000</v>
      </c>
      <c r="H21" s="75">
        <f>SUM(H22)</f>
        <v>2070000</v>
      </c>
      <c r="I21" s="75">
        <f>SUM(I22)</f>
        <v>0</v>
      </c>
      <c r="J21" s="75">
        <f>SUM(J22)</f>
        <v>0</v>
      </c>
    </row>
    <row r="22" spans="1:10" ht="60" customHeight="1" x14ac:dyDescent="0.3">
      <c r="A22" s="73" t="s">
        <v>105</v>
      </c>
      <c r="B22" s="73" t="s">
        <v>286</v>
      </c>
      <c r="C22" s="73" t="s">
        <v>286</v>
      </c>
      <c r="D22" s="74" t="s">
        <v>403</v>
      </c>
      <c r="E22" s="74" t="s">
        <v>286</v>
      </c>
      <c r="F22" s="74" t="s">
        <v>286</v>
      </c>
      <c r="G22" s="75">
        <f t="shared" ref="G22:G84" si="2">SUM(H22+I22)</f>
        <v>2070000</v>
      </c>
      <c r="H22" s="75">
        <f>SUM(H23:H34)</f>
        <v>2070000</v>
      </c>
      <c r="I22" s="75">
        <f>SUM(I24:I34)</f>
        <v>0</v>
      </c>
      <c r="J22" s="75">
        <f>SUM(J24:J34)</f>
        <v>0</v>
      </c>
    </row>
    <row r="23" spans="1:10" ht="116.45" hidden="1" customHeight="1" x14ac:dyDescent="0.3">
      <c r="A23" s="203" t="s">
        <v>106</v>
      </c>
      <c r="B23" s="203" t="s">
        <v>107</v>
      </c>
      <c r="C23" s="205" t="s">
        <v>102</v>
      </c>
      <c r="D23" s="205" t="s">
        <v>108</v>
      </c>
      <c r="E23" s="77" t="s">
        <v>405</v>
      </c>
      <c r="F23" s="77" t="s">
        <v>380</v>
      </c>
      <c r="G23" s="78">
        <f t="shared" si="2"/>
        <v>0</v>
      </c>
      <c r="H23" s="78">
        <v>0</v>
      </c>
      <c r="I23" s="75"/>
      <c r="J23" s="75"/>
    </row>
    <row r="24" spans="1:10" ht="131.25" hidden="1" x14ac:dyDescent="0.3">
      <c r="A24" s="76" t="s">
        <v>109</v>
      </c>
      <c r="B24" s="76" t="s">
        <v>110</v>
      </c>
      <c r="C24" s="76" t="s">
        <v>111</v>
      </c>
      <c r="D24" s="77" t="s">
        <v>112</v>
      </c>
      <c r="E24" s="77" t="s">
        <v>405</v>
      </c>
      <c r="F24" s="77" t="s">
        <v>380</v>
      </c>
      <c r="G24" s="78">
        <f t="shared" si="2"/>
        <v>0</v>
      </c>
      <c r="H24" s="78">
        <v>0</v>
      </c>
      <c r="I24" s="78"/>
      <c r="J24" s="78"/>
    </row>
    <row r="25" spans="1:10" ht="131.25" hidden="1" customHeight="1" x14ac:dyDescent="0.3">
      <c r="A25" s="79">
        <v>118313</v>
      </c>
      <c r="B25" s="79">
        <v>8313</v>
      </c>
      <c r="C25" s="79">
        <v>513</v>
      </c>
      <c r="D25" s="77" t="s">
        <v>416</v>
      </c>
      <c r="E25" s="77" t="s">
        <v>405</v>
      </c>
      <c r="F25" s="77" t="s">
        <v>380</v>
      </c>
      <c r="G25" s="78">
        <f t="shared" si="2"/>
        <v>0</v>
      </c>
      <c r="H25" s="78"/>
      <c r="I25" s="78">
        <v>0</v>
      </c>
      <c r="J25" s="78"/>
    </row>
    <row r="26" spans="1:10" s="93" customFormat="1" ht="25.5" hidden="1" x14ac:dyDescent="0.2">
      <c r="A26" s="134" t="s">
        <v>117</v>
      </c>
      <c r="B26" s="134" t="s">
        <v>118</v>
      </c>
      <c r="C26" s="134" t="s">
        <v>119</v>
      </c>
      <c r="D26" s="135" t="s">
        <v>120</v>
      </c>
      <c r="E26" s="135"/>
      <c r="F26" s="135"/>
      <c r="G26" s="136">
        <f t="shared" si="2"/>
        <v>0</v>
      </c>
      <c r="H26" s="136"/>
      <c r="I26" s="136"/>
      <c r="J26" s="136"/>
    </row>
    <row r="27" spans="1:10" s="93" customFormat="1" ht="25.5" hidden="1" x14ac:dyDescent="0.2">
      <c r="A27" s="134" t="s">
        <v>121</v>
      </c>
      <c r="B27" s="134" t="s">
        <v>122</v>
      </c>
      <c r="C27" s="134" t="s">
        <v>119</v>
      </c>
      <c r="D27" s="135" t="s">
        <v>123</v>
      </c>
      <c r="E27" s="135"/>
      <c r="F27" s="135"/>
      <c r="G27" s="136">
        <f t="shared" si="2"/>
        <v>0</v>
      </c>
      <c r="H27" s="136"/>
      <c r="I27" s="136"/>
      <c r="J27" s="136"/>
    </row>
    <row r="28" spans="1:10" s="93" customFormat="1" ht="131.25" customHeight="1" x14ac:dyDescent="0.2">
      <c r="A28" s="76" t="s">
        <v>124</v>
      </c>
      <c r="B28" s="76" t="s">
        <v>125</v>
      </c>
      <c r="C28" s="76" t="s">
        <v>126</v>
      </c>
      <c r="D28" s="77" t="s">
        <v>127</v>
      </c>
      <c r="E28" s="77" t="s">
        <v>463</v>
      </c>
      <c r="F28" s="77" t="s">
        <v>503</v>
      </c>
      <c r="G28" s="78">
        <f t="shared" si="2"/>
        <v>420000</v>
      </c>
      <c r="H28" s="78">
        <v>420000</v>
      </c>
      <c r="I28" s="78">
        <f>J28</f>
        <v>0</v>
      </c>
      <c r="J28" s="78">
        <v>0</v>
      </c>
    </row>
    <row r="29" spans="1:10" s="93" customFormat="1" ht="318.75" hidden="1" x14ac:dyDescent="0.2">
      <c r="A29" s="76" t="s">
        <v>128</v>
      </c>
      <c r="B29" s="76" t="s">
        <v>129</v>
      </c>
      <c r="C29" s="76" t="s">
        <v>130</v>
      </c>
      <c r="D29" s="77" t="s">
        <v>131</v>
      </c>
      <c r="E29" s="77" t="s">
        <v>411</v>
      </c>
      <c r="F29" s="77" t="s">
        <v>380</v>
      </c>
      <c r="G29" s="78">
        <f t="shared" si="2"/>
        <v>0</v>
      </c>
      <c r="H29" s="78">
        <v>0</v>
      </c>
      <c r="I29" s="78">
        <v>0</v>
      </c>
      <c r="J29" s="78"/>
    </row>
    <row r="30" spans="1:10" s="93" customFormat="1" ht="216" hidden="1" customHeight="1" x14ac:dyDescent="0.2">
      <c r="A30" s="76" t="s">
        <v>128</v>
      </c>
      <c r="B30" s="76" t="s">
        <v>129</v>
      </c>
      <c r="C30" s="76" t="s">
        <v>130</v>
      </c>
      <c r="D30" s="77" t="s">
        <v>131</v>
      </c>
      <c r="E30" s="194" t="s">
        <v>415</v>
      </c>
      <c r="F30" s="77" t="s">
        <v>417</v>
      </c>
      <c r="G30" s="78">
        <v>0</v>
      </c>
      <c r="H30" s="78">
        <v>0</v>
      </c>
      <c r="I30" s="78"/>
      <c r="J30" s="78"/>
    </row>
    <row r="31" spans="1:10" s="93" customFormat="1" ht="206.25" x14ac:dyDescent="0.2">
      <c r="A31" s="76">
        <v>116088</v>
      </c>
      <c r="B31" s="76">
        <v>6088</v>
      </c>
      <c r="C31" s="76">
        <v>610</v>
      </c>
      <c r="D31" s="77" t="s">
        <v>511</v>
      </c>
      <c r="E31" s="215" t="s">
        <v>512</v>
      </c>
      <c r="F31" s="216" t="s">
        <v>489</v>
      </c>
      <c r="G31" s="78">
        <v>660000</v>
      </c>
      <c r="H31" s="78">
        <v>660000</v>
      </c>
      <c r="I31" s="78"/>
      <c r="J31" s="78"/>
    </row>
    <row r="32" spans="1:10" s="93" customFormat="1" ht="150" x14ac:dyDescent="0.2">
      <c r="A32" s="76" t="s">
        <v>128</v>
      </c>
      <c r="B32" s="76" t="s">
        <v>129</v>
      </c>
      <c r="C32" s="76" t="s">
        <v>130</v>
      </c>
      <c r="D32" s="77" t="s">
        <v>131</v>
      </c>
      <c r="E32" s="77" t="s">
        <v>478</v>
      </c>
      <c r="F32" s="214" t="s">
        <v>489</v>
      </c>
      <c r="G32" s="78">
        <f>H32</f>
        <v>700000</v>
      </c>
      <c r="H32" s="78">
        <f>650000+50000</f>
        <v>700000</v>
      </c>
      <c r="I32" s="78">
        <v>0</v>
      </c>
      <c r="J32" s="78">
        <v>0</v>
      </c>
    </row>
    <row r="33" spans="1:10" ht="131.25" x14ac:dyDescent="0.3">
      <c r="A33" s="211" t="s">
        <v>370</v>
      </c>
      <c r="B33" s="76" t="s">
        <v>192</v>
      </c>
      <c r="C33" s="76" t="s">
        <v>193</v>
      </c>
      <c r="D33" s="77" t="s">
        <v>194</v>
      </c>
      <c r="E33" s="77" t="s">
        <v>464</v>
      </c>
      <c r="F33" s="77" t="s">
        <v>503</v>
      </c>
      <c r="G33" s="78">
        <f t="shared" ref="G33" si="3">SUM(H33+I33)</f>
        <v>290000</v>
      </c>
      <c r="H33" s="78">
        <v>290000</v>
      </c>
      <c r="I33" s="78">
        <v>0</v>
      </c>
      <c r="J33" s="78">
        <v>0</v>
      </c>
    </row>
    <row r="34" spans="1:10" ht="187.5" hidden="1" x14ac:dyDescent="0.3">
      <c r="A34" s="76" t="s">
        <v>128</v>
      </c>
      <c r="B34" s="76" t="s">
        <v>129</v>
      </c>
      <c r="C34" s="76" t="s">
        <v>130</v>
      </c>
      <c r="D34" s="77" t="s">
        <v>131</v>
      </c>
      <c r="E34" s="77" t="s">
        <v>289</v>
      </c>
      <c r="F34" s="77" t="s">
        <v>290</v>
      </c>
      <c r="G34" s="78">
        <f t="shared" si="2"/>
        <v>0</v>
      </c>
      <c r="H34" s="78"/>
      <c r="I34" s="78">
        <v>0</v>
      </c>
      <c r="J34" s="78">
        <v>0</v>
      </c>
    </row>
    <row r="35" spans="1:10" ht="37.5" x14ac:dyDescent="0.3">
      <c r="A35" s="73" t="s">
        <v>132</v>
      </c>
      <c r="B35" s="73" t="s">
        <v>286</v>
      </c>
      <c r="C35" s="73" t="s">
        <v>286</v>
      </c>
      <c r="D35" s="74" t="s">
        <v>379</v>
      </c>
      <c r="E35" s="74" t="s">
        <v>286</v>
      </c>
      <c r="F35" s="74" t="s">
        <v>286</v>
      </c>
      <c r="G35" s="75">
        <f t="shared" si="2"/>
        <v>72690</v>
      </c>
      <c r="H35" s="75">
        <f>SUM(H36)</f>
        <v>72690</v>
      </c>
      <c r="I35" s="75">
        <f t="shared" ref="I35:J35" si="4">SUM(I36)</f>
        <v>0</v>
      </c>
      <c r="J35" s="75">
        <f t="shared" si="4"/>
        <v>0</v>
      </c>
    </row>
    <row r="36" spans="1:10" ht="37.5" x14ac:dyDescent="0.3">
      <c r="A36" s="73" t="s">
        <v>133</v>
      </c>
      <c r="B36" s="73" t="s">
        <v>286</v>
      </c>
      <c r="C36" s="73" t="s">
        <v>286</v>
      </c>
      <c r="D36" s="74" t="s">
        <v>379</v>
      </c>
      <c r="E36" s="74" t="s">
        <v>286</v>
      </c>
      <c r="F36" s="74" t="s">
        <v>286</v>
      </c>
      <c r="G36" s="75">
        <f>SUM(H36+I36)</f>
        <v>72690</v>
      </c>
      <c r="H36" s="75">
        <f>SUM(H37:H49)</f>
        <v>72690</v>
      </c>
      <c r="I36" s="75">
        <f>SUM(I38:I49)</f>
        <v>0</v>
      </c>
      <c r="J36" s="75">
        <f t="shared" ref="J36" si="5">SUM(J38:J48)</f>
        <v>0</v>
      </c>
    </row>
    <row r="37" spans="1:10" ht="150" x14ac:dyDescent="0.3">
      <c r="A37" s="76" t="s">
        <v>140</v>
      </c>
      <c r="B37" s="76" t="s">
        <v>141</v>
      </c>
      <c r="C37" s="76" t="s">
        <v>142</v>
      </c>
      <c r="D37" s="77" t="s">
        <v>143</v>
      </c>
      <c r="E37" s="77" t="s">
        <v>508</v>
      </c>
      <c r="F37" s="214" t="s">
        <v>489</v>
      </c>
      <c r="G37" s="78">
        <f t="shared" si="2"/>
        <v>72690</v>
      </c>
      <c r="H37" s="78">
        <v>72690</v>
      </c>
      <c r="I37" s="75"/>
      <c r="J37" s="75"/>
    </row>
    <row r="38" spans="1:10" s="93" customFormat="1" ht="93.75" hidden="1" x14ac:dyDescent="0.2">
      <c r="A38" s="76" t="s">
        <v>140</v>
      </c>
      <c r="B38" s="76" t="s">
        <v>141</v>
      </c>
      <c r="C38" s="76" t="s">
        <v>142</v>
      </c>
      <c r="D38" s="77" t="s">
        <v>143</v>
      </c>
      <c r="E38" s="77" t="s">
        <v>291</v>
      </c>
      <c r="F38" s="77" t="s">
        <v>331</v>
      </c>
      <c r="G38" s="78">
        <f t="shared" si="2"/>
        <v>0</v>
      </c>
      <c r="H38" s="78">
        <v>0</v>
      </c>
      <c r="I38" s="78"/>
      <c r="J38" s="78"/>
    </row>
    <row r="39" spans="1:10" s="93" customFormat="1" ht="12.75" hidden="1" x14ac:dyDescent="0.2">
      <c r="A39" s="134" t="s">
        <v>149</v>
      </c>
      <c r="B39" s="134" t="s">
        <v>150</v>
      </c>
      <c r="C39" s="134" t="s">
        <v>151</v>
      </c>
      <c r="D39" s="135" t="s">
        <v>152</v>
      </c>
      <c r="E39" s="135"/>
      <c r="F39" s="135"/>
      <c r="G39" s="136">
        <f t="shared" si="2"/>
        <v>0</v>
      </c>
      <c r="H39" s="136"/>
      <c r="I39" s="136"/>
      <c r="J39" s="136"/>
    </row>
    <row r="40" spans="1:10" s="93" customFormat="1" ht="25.5" hidden="1" x14ac:dyDescent="0.2">
      <c r="A40" s="134" t="s">
        <v>159</v>
      </c>
      <c r="B40" s="134" t="s">
        <v>160</v>
      </c>
      <c r="C40" s="134" t="s">
        <v>161</v>
      </c>
      <c r="D40" s="135" t="s">
        <v>162</v>
      </c>
      <c r="E40" s="135"/>
      <c r="F40" s="135"/>
      <c r="G40" s="136">
        <f t="shared" si="2"/>
        <v>0</v>
      </c>
      <c r="H40" s="136"/>
      <c r="I40" s="136"/>
      <c r="J40" s="136"/>
    </row>
    <row r="41" spans="1:10" ht="150" hidden="1" x14ac:dyDescent="0.3">
      <c r="A41" s="76" t="s">
        <v>163</v>
      </c>
      <c r="B41" s="76" t="s">
        <v>164</v>
      </c>
      <c r="C41" s="76" t="s">
        <v>165</v>
      </c>
      <c r="D41" s="77" t="s">
        <v>166</v>
      </c>
      <c r="E41" s="77" t="s">
        <v>292</v>
      </c>
      <c r="F41" s="77" t="s">
        <v>293</v>
      </c>
      <c r="G41" s="78">
        <f t="shared" si="2"/>
        <v>0</v>
      </c>
      <c r="H41" s="78">
        <v>0</v>
      </c>
      <c r="I41" s="78">
        <v>0</v>
      </c>
      <c r="J41" s="78">
        <v>0</v>
      </c>
    </row>
    <row r="42" spans="1:10" ht="150" hidden="1" x14ac:dyDescent="0.3">
      <c r="A42" s="76" t="s">
        <v>167</v>
      </c>
      <c r="B42" s="76" t="s">
        <v>168</v>
      </c>
      <c r="C42" s="76" t="s">
        <v>169</v>
      </c>
      <c r="D42" s="77" t="s">
        <v>170</v>
      </c>
      <c r="E42" s="77" t="s">
        <v>292</v>
      </c>
      <c r="F42" s="77" t="s">
        <v>293</v>
      </c>
      <c r="G42" s="78">
        <f t="shared" si="2"/>
        <v>0</v>
      </c>
      <c r="H42" s="78">
        <v>0</v>
      </c>
      <c r="I42" s="78"/>
      <c r="J42" s="78"/>
    </row>
    <row r="43" spans="1:10" ht="150" hidden="1" x14ac:dyDescent="0.3">
      <c r="A43" s="76" t="s">
        <v>171</v>
      </c>
      <c r="B43" s="76" t="s">
        <v>172</v>
      </c>
      <c r="C43" s="76" t="s">
        <v>169</v>
      </c>
      <c r="D43" s="77" t="s">
        <v>173</v>
      </c>
      <c r="E43" s="77" t="s">
        <v>292</v>
      </c>
      <c r="F43" s="77" t="s">
        <v>293</v>
      </c>
      <c r="G43" s="78">
        <f t="shared" si="2"/>
        <v>0</v>
      </c>
      <c r="H43" s="78">
        <v>0</v>
      </c>
      <c r="I43" s="78"/>
      <c r="J43" s="78"/>
    </row>
    <row r="44" spans="1:10" s="93" customFormat="1" ht="76.5" hidden="1" x14ac:dyDescent="0.2">
      <c r="A44" s="134" t="s">
        <v>174</v>
      </c>
      <c r="B44" s="134" t="s">
        <v>175</v>
      </c>
      <c r="C44" s="134" t="s">
        <v>169</v>
      </c>
      <c r="D44" s="135" t="s">
        <v>176</v>
      </c>
      <c r="E44" s="135" t="s">
        <v>292</v>
      </c>
      <c r="F44" s="135" t="s">
        <v>293</v>
      </c>
      <c r="G44" s="136">
        <f t="shared" si="2"/>
        <v>0</v>
      </c>
      <c r="H44" s="136"/>
      <c r="I44" s="136"/>
      <c r="J44" s="136"/>
    </row>
    <row r="45" spans="1:10" s="93" customFormat="1" ht="76.5" hidden="1" x14ac:dyDescent="0.2">
      <c r="A45" s="134" t="s">
        <v>177</v>
      </c>
      <c r="B45" s="134" t="s">
        <v>178</v>
      </c>
      <c r="C45" s="134" t="s">
        <v>169</v>
      </c>
      <c r="D45" s="135" t="s">
        <v>179</v>
      </c>
      <c r="E45" s="135" t="s">
        <v>292</v>
      </c>
      <c r="F45" s="135" t="s">
        <v>293</v>
      </c>
      <c r="G45" s="136">
        <f t="shared" si="2"/>
        <v>0</v>
      </c>
      <c r="H45" s="136"/>
      <c r="I45" s="136"/>
      <c r="J45" s="136"/>
    </row>
    <row r="46" spans="1:10" s="93" customFormat="1" ht="150" hidden="1" x14ac:dyDescent="0.2">
      <c r="A46" s="76" t="s">
        <v>180</v>
      </c>
      <c r="B46" s="76" t="s">
        <v>181</v>
      </c>
      <c r="C46" s="76" t="s">
        <v>169</v>
      </c>
      <c r="D46" s="77" t="s">
        <v>182</v>
      </c>
      <c r="E46" s="77" t="s">
        <v>292</v>
      </c>
      <c r="F46" s="77" t="s">
        <v>293</v>
      </c>
      <c r="G46" s="78">
        <f t="shared" si="2"/>
        <v>0</v>
      </c>
      <c r="H46" s="78">
        <v>0</v>
      </c>
      <c r="I46" s="78"/>
      <c r="J46" s="78"/>
    </row>
    <row r="47" spans="1:10" ht="131.25" hidden="1" x14ac:dyDescent="0.3">
      <c r="A47" s="76" t="s">
        <v>191</v>
      </c>
      <c r="B47" s="76" t="s">
        <v>192</v>
      </c>
      <c r="C47" s="76" t="s">
        <v>193</v>
      </c>
      <c r="D47" s="77" t="s">
        <v>194</v>
      </c>
      <c r="E47" s="77" t="s">
        <v>378</v>
      </c>
      <c r="F47" s="77" t="s">
        <v>365</v>
      </c>
      <c r="G47" s="78">
        <f t="shared" si="2"/>
        <v>0</v>
      </c>
      <c r="H47" s="78">
        <v>0</v>
      </c>
      <c r="I47" s="78">
        <v>0</v>
      </c>
      <c r="J47" s="78">
        <v>0</v>
      </c>
    </row>
    <row r="48" spans="1:10" s="93" customFormat="1" ht="168.75" hidden="1" x14ac:dyDescent="0.2">
      <c r="A48" s="151" t="s">
        <v>350</v>
      </c>
      <c r="B48" s="76" t="s">
        <v>125</v>
      </c>
      <c r="C48" s="76" t="s">
        <v>126</v>
      </c>
      <c r="D48" s="77" t="s">
        <v>127</v>
      </c>
      <c r="E48" s="77" t="s">
        <v>334</v>
      </c>
      <c r="F48" s="77" t="s">
        <v>347</v>
      </c>
      <c r="G48" s="78">
        <f t="shared" si="2"/>
        <v>0</v>
      </c>
      <c r="H48" s="78">
        <v>0</v>
      </c>
      <c r="I48" s="78">
        <v>0</v>
      </c>
      <c r="J48" s="78">
        <v>0</v>
      </c>
    </row>
    <row r="49" spans="1:10" s="192" customFormat="1" ht="131.25" hidden="1" x14ac:dyDescent="0.3">
      <c r="A49" s="151" t="s">
        <v>136</v>
      </c>
      <c r="B49" s="79">
        <v>1010</v>
      </c>
      <c r="C49" s="151" t="s">
        <v>119</v>
      </c>
      <c r="D49" s="77" t="s">
        <v>139</v>
      </c>
      <c r="E49" s="77" t="s">
        <v>414</v>
      </c>
      <c r="F49" s="77" t="s">
        <v>380</v>
      </c>
      <c r="G49" s="78">
        <f t="shared" si="2"/>
        <v>0</v>
      </c>
      <c r="H49" s="191">
        <v>0</v>
      </c>
      <c r="I49" s="78">
        <v>0</v>
      </c>
      <c r="J49" s="78">
        <v>0</v>
      </c>
    </row>
    <row r="50" spans="1:10" s="93" customFormat="1" ht="168.75" hidden="1" x14ac:dyDescent="0.3">
      <c r="A50" s="139" t="s">
        <v>357</v>
      </c>
      <c r="B50" s="29">
        <v>7384</v>
      </c>
      <c r="C50" s="139" t="s">
        <v>119</v>
      </c>
      <c r="D50" s="138" t="s">
        <v>358</v>
      </c>
      <c r="E50" s="77" t="s">
        <v>359</v>
      </c>
      <c r="F50" s="77" t="s">
        <v>347</v>
      </c>
      <c r="G50" s="78">
        <f t="shared" si="2"/>
        <v>0</v>
      </c>
      <c r="H50" s="136"/>
      <c r="I50" s="78">
        <v>0</v>
      </c>
      <c r="J50" s="78">
        <v>0</v>
      </c>
    </row>
    <row r="51" spans="1:10" ht="75" x14ac:dyDescent="0.3">
      <c r="A51" s="73" t="s">
        <v>195</v>
      </c>
      <c r="B51" s="73" t="s">
        <v>286</v>
      </c>
      <c r="C51" s="73" t="s">
        <v>286</v>
      </c>
      <c r="D51" s="74" t="s">
        <v>396</v>
      </c>
      <c r="E51" s="74" t="s">
        <v>286</v>
      </c>
      <c r="F51" s="74" t="s">
        <v>286</v>
      </c>
      <c r="G51" s="75">
        <f t="shared" si="2"/>
        <v>6697419.6699999999</v>
      </c>
      <c r="H51" s="75">
        <f>SUM(H52)</f>
        <v>6697419.6699999999</v>
      </c>
      <c r="I51" s="75">
        <f t="shared" ref="I51:J51" si="6">SUM(I52)</f>
        <v>0</v>
      </c>
      <c r="J51" s="75">
        <f t="shared" si="6"/>
        <v>0</v>
      </c>
    </row>
    <row r="52" spans="1:10" ht="75" x14ac:dyDescent="0.3">
      <c r="A52" s="73" t="s">
        <v>196</v>
      </c>
      <c r="B52" s="73" t="s">
        <v>286</v>
      </c>
      <c r="C52" s="73" t="s">
        <v>286</v>
      </c>
      <c r="D52" s="74" t="s">
        <v>396</v>
      </c>
      <c r="E52" s="74" t="s">
        <v>286</v>
      </c>
      <c r="F52" s="74" t="s">
        <v>286</v>
      </c>
      <c r="G52" s="75">
        <f t="shared" si="2"/>
        <v>6697419.6699999999</v>
      </c>
      <c r="H52" s="75">
        <f>SUM(H53:H69)</f>
        <v>6697419.6699999999</v>
      </c>
      <c r="I52" s="75">
        <f>SUM(I53:I65)</f>
        <v>0</v>
      </c>
      <c r="J52" s="75">
        <f>SUM(J53:J65)</f>
        <v>0</v>
      </c>
    </row>
    <row r="53" spans="1:10" ht="112.5" hidden="1" x14ac:dyDescent="0.3">
      <c r="A53" s="76" t="s">
        <v>198</v>
      </c>
      <c r="B53" s="76" t="s">
        <v>199</v>
      </c>
      <c r="C53" s="76" t="s">
        <v>200</v>
      </c>
      <c r="D53" s="77" t="s">
        <v>201</v>
      </c>
      <c r="E53" s="77" t="s">
        <v>294</v>
      </c>
      <c r="F53" s="77" t="s">
        <v>295</v>
      </c>
      <c r="G53" s="78">
        <f t="shared" si="2"/>
        <v>0</v>
      </c>
      <c r="H53" s="78">
        <v>0</v>
      </c>
      <c r="I53" s="78"/>
      <c r="J53" s="78"/>
    </row>
    <row r="54" spans="1:10" s="93" customFormat="1" ht="131.25" hidden="1" x14ac:dyDescent="0.2">
      <c r="A54" s="79">
        <v>813140</v>
      </c>
      <c r="B54" s="79">
        <v>3140</v>
      </c>
      <c r="C54" s="79">
        <v>1040</v>
      </c>
      <c r="D54" s="77" t="s">
        <v>208</v>
      </c>
      <c r="E54" s="77" t="s">
        <v>348</v>
      </c>
      <c r="F54" s="77" t="s">
        <v>296</v>
      </c>
      <c r="G54" s="78">
        <f t="shared" si="2"/>
        <v>0</v>
      </c>
      <c r="H54" s="78">
        <v>0</v>
      </c>
      <c r="I54" s="78"/>
      <c r="J54" s="78"/>
    </row>
    <row r="55" spans="1:10" ht="290.45" customHeight="1" x14ac:dyDescent="0.3">
      <c r="A55" s="76" t="s">
        <v>202</v>
      </c>
      <c r="B55" s="76" t="s">
        <v>203</v>
      </c>
      <c r="C55" s="76" t="s">
        <v>200</v>
      </c>
      <c r="D55" s="77" t="s">
        <v>204</v>
      </c>
      <c r="E55" s="179" t="s">
        <v>479</v>
      </c>
      <c r="F55" s="77" t="s">
        <v>480</v>
      </c>
      <c r="G55" s="78">
        <f t="shared" si="2"/>
        <v>10704</v>
      </c>
      <c r="H55" s="78">
        <f>12074-1370</f>
        <v>10704</v>
      </c>
      <c r="I55" s="78">
        <v>0</v>
      </c>
      <c r="J55" s="78">
        <v>0</v>
      </c>
    </row>
    <row r="56" spans="1:10" s="93" customFormat="1" ht="131.25" hidden="1" x14ac:dyDescent="0.2">
      <c r="A56" s="76" t="s">
        <v>205</v>
      </c>
      <c r="B56" s="76" t="s">
        <v>206</v>
      </c>
      <c r="C56" s="76" t="s">
        <v>207</v>
      </c>
      <c r="D56" s="77" t="s">
        <v>208</v>
      </c>
      <c r="E56" s="77" t="s">
        <v>406</v>
      </c>
      <c r="F56" s="77" t="s">
        <v>407</v>
      </c>
      <c r="G56" s="78">
        <f t="shared" si="2"/>
        <v>0</v>
      </c>
      <c r="H56" s="78">
        <v>0</v>
      </c>
      <c r="I56" s="78">
        <v>0</v>
      </c>
      <c r="J56" s="78">
        <v>0</v>
      </c>
    </row>
    <row r="57" spans="1:10" s="93" customFormat="1" ht="262.5" x14ac:dyDescent="0.2">
      <c r="A57" s="211" t="s">
        <v>384</v>
      </c>
      <c r="B57" s="79">
        <v>3121</v>
      </c>
      <c r="C57" s="79">
        <v>1040</v>
      </c>
      <c r="D57" s="77" t="s">
        <v>452</v>
      </c>
      <c r="E57" s="77" t="s">
        <v>465</v>
      </c>
      <c r="F57" s="77" t="s">
        <v>481</v>
      </c>
      <c r="G57" s="78">
        <f>H57</f>
        <v>3778793.67</v>
      </c>
      <c r="H57" s="78">
        <v>3778793.67</v>
      </c>
      <c r="I57" s="78"/>
      <c r="J57" s="78"/>
    </row>
    <row r="58" spans="1:10" s="93" customFormat="1" ht="187.5" x14ac:dyDescent="0.2">
      <c r="A58" s="211" t="s">
        <v>435</v>
      </c>
      <c r="B58" s="79">
        <v>3160</v>
      </c>
      <c r="C58" s="79">
        <v>1010</v>
      </c>
      <c r="D58" s="77" t="s">
        <v>453</v>
      </c>
      <c r="E58" s="77" t="s">
        <v>454</v>
      </c>
      <c r="F58" s="77" t="s">
        <v>477</v>
      </c>
      <c r="G58" s="78">
        <f>H58</f>
        <v>106370</v>
      </c>
      <c r="H58" s="78">
        <v>106370</v>
      </c>
      <c r="I58" s="78"/>
      <c r="J58" s="78"/>
    </row>
    <row r="59" spans="1:10" ht="206.25" x14ac:dyDescent="0.3">
      <c r="A59" s="76" t="s">
        <v>209</v>
      </c>
      <c r="B59" s="76" t="s">
        <v>210</v>
      </c>
      <c r="C59" s="76" t="s">
        <v>137</v>
      </c>
      <c r="D59" s="77" t="s">
        <v>211</v>
      </c>
      <c r="E59" s="77" t="s">
        <v>466</v>
      </c>
      <c r="F59" s="77" t="s">
        <v>482</v>
      </c>
      <c r="G59" s="78">
        <f t="shared" si="2"/>
        <v>1506</v>
      </c>
      <c r="H59" s="78">
        <v>1506</v>
      </c>
      <c r="I59" s="78">
        <v>0</v>
      </c>
      <c r="J59" s="78">
        <v>0</v>
      </c>
    </row>
    <row r="60" spans="1:10" ht="206.25" x14ac:dyDescent="0.3">
      <c r="A60" s="76" t="s">
        <v>212</v>
      </c>
      <c r="B60" s="79">
        <v>3180</v>
      </c>
      <c r="C60" s="76" t="s">
        <v>214</v>
      </c>
      <c r="D60" s="77" t="s">
        <v>215</v>
      </c>
      <c r="E60" s="77" t="s">
        <v>466</v>
      </c>
      <c r="F60" s="77" t="s">
        <v>482</v>
      </c>
      <c r="G60" s="78">
        <f t="shared" si="2"/>
        <v>19476</v>
      </c>
      <c r="H60" s="78">
        <f>3825+15651</f>
        <v>19476</v>
      </c>
      <c r="I60" s="78">
        <v>0</v>
      </c>
      <c r="J60" s="78">
        <v>0</v>
      </c>
    </row>
    <row r="61" spans="1:10" ht="150" x14ac:dyDescent="0.3">
      <c r="A61" s="151" t="s">
        <v>205</v>
      </c>
      <c r="B61" s="79">
        <v>3140</v>
      </c>
      <c r="C61" s="76" t="s">
        <v>214</v>
      </c>
      <c r="D61" s="77" t="s">
        <v>208</v>
      </c>
      <c r="E61" s="214" t="s">
        <v>487</v>
      </c>
      <c r="F61" s="214" t="s">
        <v>488</v>
      </c>
      <c r="G61" s="78">
        <f t="shared" ref="G61:G62" si="7">SUM(H61+I61)</f>
        <v>475340</v>
      </c>
      <c r="H61" s="78">
        <f>317000+158340</f>
        <v>475340</v>
      </c>
      <c r="I61" s="78">
        <v>0</v>
      </c>
      <c r="J61" s="78">
        <v>0</v>
      </c>
    </row>
    <row r="62" spans="1:10" ht="168.75" x14ac:dyDescent="0.3">
      <c r="A62" s="203" t="s">
        <v>437</v>
      </c>
      <c r="B62" s="203">
        <v>3191</v>
      </c>
      <c r="C62" s="204">
        <v>1030</v>
      </c>
      <c r="D62" s="31" t="s">
        <v>438</v>
      </c>
      <c r="E62" s="65" t="s">
        <v>455</v>
      </c>
      <c r="F62" s="77" t="s">
        <v>484</v>
      </c>
      <c r="G62" s="78">
        <f t="shared" si="7"/>
        <v>630000</v>
      </c>
      <c r="H62" s="78">
        <f>600000+315000-285000</f>
        <v>630000</v>
      </c>
      <c r="I62" s="78">
        <v>0</v>
      </c>
      <c r="J62" s="78">
        <v>0</v>
      </c>
    </row>
    <row r="63" spans="1:10" ht="262.5" x14ac:dyDescent="0.3">
      <c r="A63" s="151" t="s">
        <v>217</v>
      </c>
      <c r="B63" s="76" t="s">
        <v>218</v>
      </c>
      <c r="C63" s="76" t="s">
        <v>216</v>
      </c>
      <c r="D63" s="77" t="s">
        <v>219</v>
      </c>
      <c r="E63" s="77" t="s">
        <v>466</v>
      </c>
      <c r="F63" s="77" t="s">
        <v>483</v>
      </c>
      <c r="G63" s="78">
        <f t="shared" si="2"/>
        <v>1675230</v>
      </c>
      <c r="H63" s="78">
        <f>875230+400000+400000</f>
        <v>1675230</v>
      </c>
      <c r="I63" s="78">
        <v>0</v>
      </c>
      <c r="J63" s="78">
        <v>0</v>
      </c>
    </row>
    <row r="64" spans="1:10" ht="143.25" hidden="1" customHeight="1" x14ac:dyDescent="0.3">
      <c r="A64" s="76" t="s">
        <v>217</v>
      </c>
      <c r="B64" s="76" t="s">
        <v>218</v>
      </c>
      <c r="C64" s="76" t="s">
        <v>216</v>
      </c>
      <c r="D64" s="77" t="s">
        <v>219</v>
      </c>
      <c r="E64" s="179" t="s">
        <v>382</v>
      </c>
      <c r="F64" s="178" t="s">
        <v>377</v>
      </c>
      <c r="G64" s="78">
        <f t="shared" ref="G64" si="8">SUM(H64+I64)</f>
        <v>0</v>
      </c>
      <c r="H64" s="78">
        <v>0</v>
      </c>
      <c r="I64" s="78">
        <v>0</v>
      </c>
      <c r="J64" s="78">
        <v>0</v>
      </c>
    </row>
    <row r="65" spans="1:10" s="93" customFormat="1" ht="51" hidden="1" x14ac:dyDescent="0.2">
      <c r="A65" s="134" t="s">
        <v>217</v>
      </c>
      <c r="B65" s="134" t="s">
        <v>218</v>
      </c>
      <c r="C65" s="134" t="s">
        <v>216</v>
      </c>
      <c r="D65" s="135" t="s">
        <v>219</v>
      </c>
      <c r="E65" s="135" t="s">
        <v>297</v>
      </c>
      <c r="F65" s="135" t="s">
        <v>298</v>
      </c>
      <c r="G65" s="136">
        <f t="shared" si="2"/>
        <v>0</v>
      </c>
      <c r="H65" s="136"/>
      <c r="I65" s="136">
        <v>0</v>
      </c>
      <c r="J65" s="136">
        <v>0</v>
      </c>
    </row>
    <row r="66" spans="1:10" s="93" customFormat="1" ht="25.5" hidden="1" x14ac:dyDescent="0.2">
      <c r="A66" s="131" t="s">
        <v>220</v>
      </c>
      <c r="B66" s="131" t="s">
        <v>286</v>
      </c>
      <c r="C66" s="131" t="s">
        <v>286</v>
      </c>
      <c r="D66" s="132" t="s">
        <v>221</v>
      </c>
      <c r="E66" s="132" t="s">
        <v>286</v>
      </c>
      <c r="F66" s="132" t="s">
        <v>286</v>
      </c>
      <c r="G66" s="133">
        <f t="shared" si="2"/>
        <v>0</v>
      </c>
      <c r="H66" s="133">
        <f>SUM(H67)</f>
        <v>0</v>
      </c>
      <c r="I66" s="133">
        <f t="shared" ref="I66:J67" si="9">SUM(I67)</f>
        <v>0</v>
      </c>
      <c r="J66" s="133">
        <f t="shared" si="9"/>
        <v>0</v>
      </c>
    </row>
    <row r="67" spans="1:10" s="93" customFormat="1" ht="25.5" hidden="1" x14ac:dyDescent="0.2">
      <c r="A67" s="131" t="s">
        <v>222</v>
      </c>
      <c r="B67" s="131" t="s">
        <v>286</v>
      </c>
      <c r="C67" s="131" t="s">
        <v>286</v>
      </c>
      <c r="D67" s="132" t="s">
        <v>221</v>
      </c>
      <c r="E67" s="132" t="s">
        <v>286</v>
      </c>
      <c r="F67" s="132" t="s">
        <v>286</v>
      </c>
      <c r="G67" s="133">
        <f t="shared" si="2"/>
        <v>0</v>
      </c>
      <c r="H67" s="133">
        <f>SUM(H68)</f>
        <v>0</v>
      </c>
      <c r="I67" s="133">
        <f t="shared" si="9"/>
        <v>0</v>
      </c>
      <c r="J67" s="133">
        <f t="shared" si="9"/>
        <v>0</v>
      </c>
    </row>
    <row r="68" spans="1:10" s="93" customFormat="1" ht="76.5" hidden="1" x14ac:dyDescent="0.2">
      <c r="A68" s="134" t="s">
        <v>224</v>
      </c>
      <c r="B68" s="134" t="s">
        <v>218</v>
      </c>
      <c r="C68" s="134" t="s">
        <v>216</v>
      </c>
      <c r="D68" s="135" t="s">
        <v>219</v>
      </c>
      <c r="E68" s="135" t="s">
        <v>299</v>
      </c>
      <c r="F68" s="135" t="s">
        <v>300</v>
      </c>
      <c r="G68" s="136">
        <f t="shared" si="2"/>
        <v>0</v>
      </c>
      <c r="H68" s="136"/>
      <c r="I68" s="136">
        <v>0</v>
      </c>
      <c r="J68" s="136">
        <v>0</v>
      </c>
    </row>
    <row r="69" spans="1:10" s="93" customFormat="1" ht="56.25" hidden="1" x14ac:dyDescent="0.2">
      <c r="A69" s="76" t="s">
        <v>217</v>
      </c>
      <c r="B69" s="76" t="s">
        <v>218</v>
      </c>
      <c r="C69" s="76" t="s">
        <v>216</v>
      </c>
      <c r="D69" s="77" t="s">
        <v>219</v>
      </c>
      <c r="E69" s="77"/>
      <c r="F69" s="77"/>
      <c r="G69" s="78">
        <f t="shared" si="2"/>
        <v>0</v>
      </c>
      <c r="H69" s="78">
        <v>0</v>
      </c>
      <c r="I69" s="78"/>
      <c r="J69" s="78"/>
    </row>
    <row r="70" spans="1:10" s="93" customFormat="1" ht="187.5" hidden="1" x14ac:dyDescent="0.2">
      <c r="A70" s="76" t="s">
        <v>217</v>
      </c>
      <c r="B70" s="76" t="s">
        <v>218</v>
      </c>
      <c r="C70" s="76" t="s">
        <v>216</v>
      </c>
      <c r="D70" s="77" t="s">
        <v>219</v>
      </c>
      <c r="E70" s="77" t="s">
        <v>360</v>
      </c>
      <c r="F70" s="77" t="s">
        <v>330</v>
      </c>
      <c r="G70" s="78">
        <f t="shared" si="2"/>
        <v>0</v>
      </c>
      <c r="H70" s="78">
        <v>0</v>
      </c>
      <c r="I70" s="78"/>
      <c r="J70" s="78"/>
    </row>
    <row r="71" spans="1:10" ht="37.5" x14ac:dyDescent="0.3">
      <c r="A71" s="212" t="s">
        <v>222</v>
      </c>
      <c r="B71" s="73"/>
      <c r="C71" s="73"/>
      <c r="D71" s="74" t="s">
        <v>221</v>
      </c>
      <c r="E71" s="74"/>
      <c r="F71" s="74"/>
      <c r="G71" s="75">
        <f>H71</f>
        <v>85000</v>
      </c>
      <c r="H71" s="75">
        <f>H72+H74+H73</f>
        <v>85000</v>
      </c>
      <c r="I71" s="75"/>
      <c r="J71" s="75"/>
    </row>
    <row r="72" spans="1:10" ht="187.5" x14ac:dyDescent="0.3">
      <c r="A72" s="211" t="s">
        <v>439</v>
      </c>
      <c r="B72" s="76">
        <v>3114</v>
      </c>
      <c r="C72" s="76">
        <v>1040</v>
      </c>
      <c r="D72" s="77" t="s">
        <v>440</v>
      </c>
      <c r="E72" s="214" t="s">
        <v>492</v>
      </c>
      <c r="F72" s="214" t="s">
        <v>490</v>
      </c>
      <c r="G72" s="78">
        <f>H72</f>
        <v>0</v>
      </c>
      <c r="H72" s="78">
        <f>40000-40000</f>
        <v>0</v>
      </c>
      <c r="I72" s="78"/>
      <c r="J72" s="78"/>
    </row>
    <row r="73" spans="1:10" ht="131.25" x14ac:dyDescent="0.3">
      <c r="A73" s="211" t="s">
        <v>439</v>
      </c>
      <c r="B73" s="76">
        <v>3114</v>
      </c>
      <c r="C73" s="76">
        <v>1040</v>
      </c>
      <c r="D73" s="77" t="s">
        <v>440</v>
      </c>
      <c r="E73" s="214" t="s">
        <v>493</v>
      </c>
      <c r="F73" s="214" t="s">
        <v>490</v>
      </c>
      <c r="G73" s="78">
        <v>20000</v>
      </c>
      <c r="H73" s="78">
        <v>20000</v>
      </c>
      <c r="I73" s="78"/>
      <c r="J73" s="78"/>
    </row>
    <row r="74" spans="1:10" ht="150" x14ac:dyDescent="0.3">
      <c r="A74" s="211" t="s">
        <v>224</v>
      </c>
      <c r="B74" s="76">
        <v>3242</v>
      </c>
      <c r="C74" s="76">
        <v>1090</v>
      </c>
      <c r="D74" s="77" t="s">
        <v>219</v>
      </c>
      <c r="E74" s="77" t="s">
        <v>456</v>
      </c>
      <c r="F74" s="214" t="s">
        <v>489</v>
      </c>
      <c r="G74" s="78">
        <f>H74</f>
        <v>65000</v>
      </c>
      <c r="H74" s="78">
        <f>25000+40000</f>
        <v>65000</v>
      </c>
      <c r="I74" s="78"/>
      <c r="J74" s="78"/>
    </row>
    <row r="75" spans="1:10" ht="131.25" x14ac:dyDescent="0.3">
      <c r="A75" s="73" t="s">
        <v>226</v>
      </c>
      <c r="B75" s="73" t="s">
        <v>286</v>
      </c>
      <c r="C75" s="73" t="s">
        <v>286</v>
      </c>
      <c r="D75" s="74" t="s">
        <v>404</v>
      </c>
      <c r="E75" s="74" t="s">
        <v>286</v>
      </c>
      <c r="F75" s="74" t="s">
        <v>286</v>
      </c>
      <c r="G75" s="75">
        <f>H75+I75</f>
        <v>13849014</v>
      </c>
      <c r="H75" s="75">
        <f>H77+H78+H79+H80+H82+H87+H76</f>
        <v>13849014</v>
      </c>
      <c r="I75" s="75">
        <f>I77+I79+I80+I87</f>
        <v>0</v>
      </c>
      <c r="J75" s="75">
        <f>J77+J79+J80+J87</f>
        <v>0</v>
      </c>
    </row>
    <row r="76" spans="1:10" ht="124.15" customHeight="1" x14ac:dyDescent="0.3">
      <c r="A76" s="203">
        <v>1213242</v>
      </c>
      <c r="B76" s="203">
        <v>3242</v>
      </c>
      <c r="C76" s="204">
        <v>1090</v>
      </c>
      <c r="D76" s="202" t="s">
        <v>427</v>
      </c>
      <c r="E76" s="77" t="s">
        <v>467</v>
      </c>
      <c r="F76" s="77" t="s">
        <v>477</v>
      </c>
      <c r="G76" s="78">
        <f t="shared" si="2"/>
        <v>420900</v>
      </c>
      <c r="H76" s="78">
        <v>420900</v>
      </c>
      <c r="I76" s="78"/>
      <c r="J76" s="78"/>
    </row>
    <row r="77" spans="1:10" ht="150" hidden="1" x14ac:dyDescent="0.3">
      <c r="A77" s="148">
        <v>1216011</v>
      </c>
      <c r="B77" s="152">
        <v>6011</v>
      </c>
      <c r="C77" s="149">
        <v>610</v>
      </c>
      <c r="D77" s="195" t="s">
        <v>340</v>
      </c>
      <c r="E77" s="77" t="s">
        <v>448</v>
      </c>
      <c r="F77" s="77" t="s">
        <v>446</v>
      </c>
      <c r="G77" s="78">
        <f t="shared" si="2"/>
        <v>0</v>
      </c>
      <c r="H77" s="78">
        <v>0</v>
      </c>
      <c r="I77" s="78"/>
      <c r="J77" s="78"/>
    </row>
    <row r="78" spans="1:10" ht="281.25" customHeight="1" x14ac:dyDescent="0.3">
      <c r="A78" s="76" t="s">
        <v>228</v>
      </c>
      <c r="B78" s="76" t="s">
        <v>229</v>
      </c>
      <c r="C78" s="76" t="s">
        <v>230</v>
      </c>
      <c r="D78" s="77" t="s">
        <v>231</v>
      </c>
      <c r="E78" s="77" t="s">
        <v>467</v>
      </c>
      <c r="F78" s="77" t="s">
        <v>477</v>
      </c>
      <c r="G78" s="78">
        <f t="shared" si="2"/>
        <v>400000</v>
      </c>
      <c r="H78" s="78">
        <v>400000</v>
      </c>
      <c r="I78" s="78">
        <v>0</v>
      </c>
      <c r="J78" s="78">
        <v>0</v>
      </c>
    </row>
    <row r="79" spans="1:10" ht="168.75" x14ac:dyDescent="0.3">
      <c r="A79" s="79">
        <v>1216020</v>
      </c>
      <c r="B79" s="79">
        <v>6020</v>
      </c>
      <c r="C79" s="76" t="s">
        <v>230</v>
      </c>
      <c r="D79" s="77" t="s">
        <v>304</v>
      </c>
      <c r="E79" s="77" t="s">
        <v>467</v>
      </c>
      <c r="F79" s="214" t="s">
        <v>489</v>
      </c>
      <c r="G79" s="78">
        <f t="shared" si="2"/>
        <v>5041800</v>
      </c>
      <c r="H79" s="78">
        <f>1000000+2696800+1345000</f>
        <v>5041800</v>
      </c>
      <c r="I79" s="78">
        <v>0</v>
      </c>
      <c r="J79" s="78">
        <v>0</v>
      </c>
    </row>
    <row r="80" spans="1:10" ht="168.75" x14ac:dyDescent="0.3">
      <c r="A80" s="79">
        <v>1216030</v>
      </c>
      <c r="B80" s="79">
        <v>6030</v>
      </c>
      <c r="C80" s="76" t="s">
        <v>230</v>
      </c>
      <c r="D80" s="77" t="s">
        <v>234</v>
      </c>
      <c r="E80" s="77" t="s">
        <v>467</v>
      </c>
      <c r="F80" s="214" t="s">
        <v>489</v>
      </c>
      <c r="G80" s="78">
        <f t="shared" ref="G80" si="10">SUM(H80+I80)</f>
        <v>3858200</v>
      </c>
      <c r="H80" s="78">
        <f>2828283-1345000+2374917</f>
        <v>3858200</v>
      </c>
      <c r="I80" s="78">
        <v>0</v>
      </c>
      <c r="J80" s="78">
        <v>0</v>
      </c>
    </row>
    <row r="81" spans="1:10" s="93" customFormat="1" ht="131.25" hidden="1" x14ac:dyDescent="0.3">
      <c r="A81" s="148">
        <v>1217310</v>
      </c>
      <c r="B81" s="140">
        <v>7310</v>
      </c>
      <c r="C81" s="149">
        <v>443</v>
      </c>
      <c r="D81" s="141" t="s">
        <v>343</v>
      </c>
      <c r="E81" s="77" t="s">
        <v>333</v>
      </c>
      <c r="F81" s="77" t="s">
        <v>332</v>
      </c>
      <c r="G81" s="78">
        <f t="shared" si="2"/>
        <v>0</v>
      </c>
      <c r="H81" s="78"/>
      <c r="I81" s="78">
        <v>0</v>
      </c>
      <c r="J81" s="78">
        <v>0</v>
      </c>
    </row>
    <row r="82" spans="1:10" s="93" customFormat="1" ht="281.25" hidden="1" x14ac:dyDescent="0.2">
      <c r="A82" s="79" t="s">
        <v>235</v>
      </c>
      <c r="B82" s="79" t="s">
        <v>236</v>
      </c>
      <c r="C82" s="76" t="s">
        <v>237</v>
      </c>
      <c r="D82" s="77" t="s">
        <v>238</v>
      </c>
      <c r="E82" s="77" t="s">
        <v>383</v>
      </c>
      <c r="F82" s="77" t="s">
        <v>381</v>
      </c>
      <c r="G82" s="78">
        <f t="shared" si="2"/>
        <v>0</v>
      </c>
      <c r="H82" s="78">
        <v>0</v>
      </c>
      <c r="I82" s="78"/>
      <c r="J82" s="78"/>
    </row>
    <row r="83" spans="1:10" ht="145.9" hidden="1" customHeight="1" x14ac:dyDescent="0.3">
      <c r="A83" s="79">
        <v>1217463</v>
      </c>
      <c r="B83" s="79">
        <v>7463</v>
      </c>
      <c r="C83" s="76" t="s">
        <v>237</v>
      </c>
      <c r="D83" s="77" t="s">
        <v>241</v>
      </c>
      <c r="E83" s="77" t="s">
        <v>425</v>
      </c>
      <c r="F83" s="77" t="s">
        <v>426</v>
      </c>
      <c r="G83" s="78">
        <f t="shared" ref="G83" si="11">SUM(H83+I83)</f>
        <v>0</v>
      </c>
      <c r="H83" s="78">
        <v>0</v>
      </c>
      <c r="I83" s="78"/>
      <c r="J83" s="78"/>
    </row>
    <row r="84" spans="1:10" s="93" customFormat="1" ht="131.25" hidden="1" x14ac:dyDescent="0.2">
      <c r="A84" s="79" t="s">
        <v>244</v>
      </c>
      <c r="B84" s="79" t="s">
        <v>125</v>
      </c>
      <c r="C84" s="76" t="s">
        <v>126</v>
      </c>
      <c r="D84" s="77" t="s">
        <v>127</v>
      </c>
      <c r="E84" s="77" t="s">
        <v>334</v>
      </c>
      <c r="F84" s="77" t="s">
        <v>332</v>
      </c>
      <c r="G84" s="78">
        <f t="shared" si="2"/>
        <v>0</v>
      </c>
      <c r="H84" s="78">
        <v>0</v>
      </c>
      <c r="I84" s="78">
        <v>0</v>
      </c>
      <c r="J84" s="78">
        <v>0</v>
      </c>
    </row>
    <row r="85" spans="1:10" s="93" customFormat="1" ht="25.5" hidden="1" x14ac:dyDescent="0.2">
      <c r="A85" s="131" t="s">
        <v>248</v>
      </c>
      <c r="B85" s="131" t="s">
        <v>286</v>
      </c>
      <c r="C85" s="131" t="s">
        <v>286</v>
      </c>
      <c r="D85" s="132" t="s">
        <v>250</v>
      </c>
      <c r="E85" s="132" t="s">
        <v>286</v>
      </c>
      <c r="F85" s="132" t="s">
        <v>286</v>
      </c>
      <c r="G85" s="133">
        <f>SUM(H85+I85)</f>
        <v>4128114</v>
      </c>
      <c r="H85" s="133">
        <f>SUM(H86)</f>
        <v>4128114</v>
      </c>
      <c r="I85" s="133">
        <f t="shared" ref="I85:J86" si="12">SUM(I86)</f>
        <v>0</v>
      </c>
      <c r="J85" s="133">
        <f t="shared" si="12"/>
        <v>0</v>
      </c>
    </row>
    <row r="86" spans="1:10" s="93" customFormat="1" ht="25.5" hidden="1" x14ac:dyDescent="0.2">
      <c r="A86" s="131" t="s">
        <v>249</v>
      </c>
      <c r="B86" s="131" t="s">
        <v>286</v>
      </c>
      <c r="C86" s="131" t="s">
        <v>286</v>
      </c>
      <c r="D86" s="132" t="s">
        <v>250</v>
      </c>
      <c r="E86" s="132" t="s">
        <v>286</v>
      </c>
      <c r="F86" s="132" t="s">
        <v>286</v>
      </c>
      <c r="G86" s="133">
        <f>SUM(H86+I86)</f>
        <v>4128114</v>
      </c>
      <c r="H86" s="133">
        <f>SUM(H87)</f>
        <v>4128114</v>
      </c>
      <c r="I86" s="133">
        <f t="shared" si="12"/>
        <v>0</v>
      </c>
      <c r="J86" s="133">
        <f t="shared" si="12"/>
        <v>0</v>
      </c>
    </row>
    <row r="87" spans="1:10" s="93" customFormat="1" ht="168.75" x14ac:dyDescent="0.2">
      <c r="A87" s="79" t="s">
        <v>244</v>
      </c>
      <c r="B87" s="79" t="s">
        <v>125</v>
      </c>
      <c r="C87" s="76" t="s">
        <v>126</v>
      </c>
      <c r="D87" s="77" t="s">
        <v>127</v>
      </c>
      <c r="E87" s="77" t="s">
        <v>467</v>
      </c>
      <c r="F87" s="214" t="s">
        <v>489</v>
      </c>
      <c r="G87" s="78">
        <f>SUM(H87+I87)</f>
        <v>4128114</v>
      </c>
      <c r="H87" s="78">
        <f>3000000+1128114</f>
        <v>4128114</v>
      </c>
      <c r="I87" s="78">
        <v>0</v>
      </c>
      <c r="J87" s="78">
        <v>0</v>
      </c>
    </row>
    <row r="88" spans="1:10" ht="75" x14ac:dyDescent="0.3">
      <c r="A88" s="73">
        <v>3700000</v>
      </c>
      <c r="B88" s="73"/>
      <c r="C88" s="73"/>
      <c r="D88" s="74" t="s">
        <v>401</v>
      </c>
      <c r="E88" s="74"/>
      <c r="F88" s="74"/>
      <c r="G88" s="75">
        <f t="shared" ref="G88:G99" si="13">SUM(H88+I88)</f>
        <v>9660952.8900000006</v>
      </c>
      <c r="H88" s="75">
        <f>SUM(H89)</f>
        <v>9660952.8900000006</v>
      </c>
      <c r="I88" s="75">
        <f t="shared" ref="I88:J88" si="14">SUM(I89)</f>
        <v>0</v>
      </c>
      <c r="J88" s="75">
        <f t="shared" si="14"/>
        <v>0</v>
      </c>
    </row>
    <row r="89" spans="1:10" ht="75" x14ac:dyDescent="0.3">
      <c r="A89" s="73">
        <v>3710000</v>
      </c>
      <c r="B89" s="73"/>
      <c r="C89" s="73"/>
      <c r="D89" s="74" t="s">
        <v>401</v>
      </c>
      <c r="E89" s="74"/>
      <c r="F89" s="74"/>
      <c r="G89" s="75">
        <f t="shared" si="13"/>
        <v>9660952.8900000006</v>
      </c>
      <c r="H89" s="75">
        <f>SUM(H90:H101)</f>
        <v>9660952.8900000006</v>
      </c>
      <c r="I89" s="75">
        <f>SUM(I90:I99)</f>
        <v>0</v>
      </c>
      <c r="J89" s="75">
        <f>SUM(J90:J99)</f>
        <v>0</v>
      </c>
    </row>
    <row r="90" spans="1:10" ht="131.25" customHeight="1" x14ac:dyDescent="0.3">
      <c r="A90" s="79">
        <v>3717370</v>
      </c>
      <c r="B90" s="79">
        <v>7370</v>
      </c>
      <c r="C90" s="79">
        <v>490</v>
      </c>
      <c r="D90" s="77" t="s">
        <v>335</v>
      </c>
      <c r="E90" s="77" t="s">
        <v>459</v>
      </c>
      <c r="F90" s="214" t="s">
        <v>489</v>
      </c>
      <c r="G90" s="78">
        <f t="shared" si="13"/>
        <v>711896.58</v>
      </c>
      <c r="H90" s="92">
        <f>1586000+328540-30000-50000-1128114-34939.42-38000+78410</f>
        <v>711896.58</v>
      </c>
      <c r="I90" s="78">
        <v>0</v>
      </c>
      <c r="J90" s="78">
        <v>0</v>
      </c>
    </row>
    <row r="91" spans="1:10" ht="206.25" x14ac:dyDescent="0.3">
      <c r="A91" s="79">
        <v>3719150</v>
      </c>
      <c r="B91" s="79">
        <v>9150</v>
      </c>
      <c r="C91" s="76" t="s">
        <v>130</v>
      </c>
      <c r="D91" s="77" t="s">
        <v>75</v>
      </c>
      <c r="E91" s="77" t="s">
        <v>460</v>
      </c>
      <c r="F91" s="77" t="s">
        <v>502</v>
      </c>
      <c r="G91" s="78">
        <f>H91</f>
        <v>150000</v>
      </c>
      <c r="H91" s="78">
        <v>150000</v>
      </c>
      <c r="I91" s="78"/>
      <c r="J91" s="78"/>
    </row>
    <row r="92" spans="1:10" ht="206.25" x14ac:dyDescent="0.3">
      <c r="A92" s="79">
        <v>3719150</v>
      </c>
      <c r="B92" s="79">
        <v>9150</v>
      </c>
      <c r="C92" s="76" t="s">
        <v>130</v>
      </c>
      <c r="D92" s="77" t="s">
        <v>75</v>
      </c>
      <c r="E92" s="77" t="s">
        <v>449</v>
      </c>
      <c r="F92" s="77" t="s">
        <v>470</v>
      </c>
      <c r="G92" s="78">
        <f t="shared" si="13"/>
        <v>30000</v>
      </c>
      <c r="H92" s="78">
        <v>30000</v>
      </c>
      <c r="I92" s="78">
        <v>0</v>
      </c>
      <c r="J92" s="78">
        <v>0</v>
      </c>
    </row>
    <row r="93" spans="1:10" ht="131.25" hidden="1" x14ac:dyDescent="0.3">
      <c r="A93" s="79">
        <v>3719150</v>
      </c>
      <c r="B93" s="79">
        <v>9150</v>
      </c>
      <c r="C93" s="76" t="s">
        <v>130</v>
      </c>
      <c r="D93" s="77" t="s">
        <v>75</v>
      </c>
      <c r="E93" s="77" t="s">
        <v>376</v>
      </c>
      <c r="F93" s="77" t="s">
        <v>380</v>
      </c>
      <c r="G93" s="78">
        <v>0</v>
      </c>
      <c r="H93" s="78">
        <v>0</v>
      </c>
      <c r="I93" s="78"/>
      <c r="J93" s="78"/>
    </row>
    <row r="94" spans="1:10" ht="281.25" x14ac:dyDescent="0.3">
      <c r="A94" s="79">
        <v>3719150</v>
      </c>
      <c r="B94" s="79">
        <v>9150</v>
      </c>
      <c r="C94" s="76" t="s">
        <v>130</v>
      </c>
      <c r="D94" s="77" t="s">
        <v>75</v>
      </c>
      <c r="E94" s="77" t="s">
        <v>505</v>
      </c>
      <c r="F94" s="214" t="s">
        <v>489</v>
      </c>
      <c r="G94" s="78">
        <f>H94</f>
        <v>50000</v>
      </c>
      <c r="H94" s="78">
        <v>50000</v>
      </c>
      <c r="I94" s="78"/>
      <c r="J94" s="78"/>
    </row>
    <row r="95" spans="1:10" ht="150" x14ac:dyDescent="0.3">
      <c r="A95" s="79">
        <v>3719150</v>
      </c>
      <c r="B95" s="79">
        <v>9150</v>
      </c>
      <c r="C95" s="76" t="s">
        <v>130</v>
      </c>
      <c r="D95" s="77" t="s">
        <v>75</v>
      </c>
      <c r="E95" s="77" t="s">
        <v>504</v>
      </c>
      <c r="F95" s="214" t="s">
        <v>489</v>
      </c>
      <c r="G95" s="78">
        <v>4799900</v>
      </c>
      <c r="H95" s="78">
        <v>4799900</v>
      </c>
      <c r="I95" s="78"/>
      <c r="J95" s="78"/>
    </row>
    <row r="96" spans="1:10" ht="168.75" x14ac:dyDescent="0.3">
      <c r="A96" s="79">
        <v>3719770</v>
      </c>
      <c r="B96" s="79">
        <v>9770</v>
      </c>
      <c r="C96" s="76" t="s">
        <v>130</v>
      </c>
      <c r="D96" s="77" t="s">
        <v>77</v>
      </c>
      <c r="E96" s="77" t="s">
        <v>462</v>
      </c>
      <c r="F96" s="214" t="s">
        <v>489</v>
      </c>
      <c r="G96" s="78">
        <f>950800-950800</f>
        <v>0</v>
      </c>
      <c r="H96" s="78">
        <f>950800-950800</f>
        <v>0</v>
      </c>
      <c r="I96" s="78"/>
      <c r="J96" s="78"/>
    </row>
    <row r="97" spans="1:10" ht="150" x14ac:dyDescent="0.3">
      <c r="A97" s="79">
        <v>3719770</v>
      </c>
      <c r="B97" s="79">
        <v>9770</v>
      </c>
      <c r="C97" s="76" t="s">
        <v>130</v>
      </c>
      <c r="D97" s="77" t="s">
        <v>77</v>
      </c>
      <c r="E97" s="77" t="s">
        <v>497</v>
      </c>
      <c r="F97" s="214" t="s">
        <v>489</v>
      </c>
      <c r="G97" s="78">
        <f>950800+535800</f>
        <v>1486600</v>
      </c>
      <c r="H97" s="78">
        <f>950800+535800</f>
        <v>1486600</v>
      </c>
      <c r="I97" s="78"/>
      <c r="J97" s="78"/>
    </row>
    <row r="98" spans="1:10" ht="206.25" x14ac:dyDescent="0.3">
      <c r="A98" s="79">
        <v>3719770</v>
      </c>
      <c r="B98" s="79">
        <v>9770</v>
      </c>
      <c r="C98" s="76" t="s">
        <v>130</v>
      </c>
      <c r="D98" s="77" t="s">
        <v>77</v>
      </c>
      <c r="E98" s="77" t="s">
        <v>450</v>
      </c>
      <c r="F98" s="77" t="s">
        <v>502</v>
      </c>
      <c r="G98" s="78">
        <v>100600</v>
      </c>
      <c r="H98" s="78">
        <v>100600</v>
      </c>
      <c r="I98" s="78"/>
      <c r="J98" s="78"/>
    </row>
    <row r="99" spans="1:10" s="93" customFormat="1" ht="222.6" customHeight="1" x14ac:dyDescent="0.2">
      <c r="A99" s="79">
        <v>3719770</v>
      </c>
      <c r="B99" s="79">
        <v>9770</v>
      </c>
      <c r="C99" s="76" t="s">
        <v>130</v>
      </c>
      <c r="D99" s="77" t="s">
        <v>77</v>
      </c>
      <c r="E99" s="77" t="s">
        <v>451</v>
      </c>
      <c r="F99" s="77" t="s">
        <v>470</v>
      </c>
      <c r="G99" s="78">
        <f t="shared" si="13"/>
        <v>20000</v>
      </c>
      <c r="H99" s="78">
        <v>20000</v>
      </c>
      <c r="I99" s="78"/>
      <c r="J99" s="78"/>
    </row>
    <row r="100" spans="1:10" s="93" customFormat="1" ht="240.75" customHeight="1" x14ac:dyDescent="0.2">
      <c r="A100" s="79">
        <v>3719770</v>
      </c>
      <c r="B100" s="79">
        <v>9770</v>
      </c>
      <c r="C100" s="76" t="s">
        <v>130</v>
      </c>
      <c r="D100" s="77" t="s">
        <v>77</v>
      </c>
      <c r="E100" s="77" t="s">
        <v>461</v>
      </c>
      <c r="F100" s="77" t="s">
        <v>477</v>
      </c>
      <c r="G100" s="78">
        <f>H100</f>
        <v>2226400</v>
      </c>
      <c r="H100" s="78">
        <f>2060700+165700</f>
        <v>2226400</v>
      </c>
      <c r="I100" s="78"/>
      <c r="J100" s="78"/>
    </row>
    <row r="101" spans="1:10" s="93" customFormat="1" ht="161.44999999999999" customHeight="1" x14ac:dyDescent="0.2">
      <c r="A101" s="79">
        <v>3719770</v>
      </c>
      <c r="B101" s="79">
        <v>9770</v>
      </c>
      <c r="C101" s="76" t="s">
        <v>130</v>
      </c>
      <c r="D101" s="77" t="s">
        <v>77</v>
      </c>
      <c r="E101" s="214" t="s">
        <v>506</v>
      </c>
      <c r="F101" s="214" t="s">
        <v>489</v>
      </c>
      <c r="G101" s="78">
        <f>H101</f>
        <v>85556.31</v>
      </c>
      <c r="H101" s="78">
        <v>85556.31</v>
      </c>
      <c r="I101" s="78"/>
      <c r="J101" s="78"/>
    </row>
    <row r="102" spans="1:10" x14ac:dyDescent="0.3">
      <c r="A102" s="80" t="s">
        <v>79</v>
      </c>
      <c r="B102" s="80" t="s">
        <v>79</v>
      </c>
      <c r="C102" s="80" t="s">
        <v>79</v>
      </c>
      <c r="D102" s="73" t="s">
        <v>257</v>
      </c>
      <c r="E102" s="73" t="s">
        <v>79</v>
      </c>
      <c r="F102" s="73" t="s">
        <v>79</v>
      </c>
      <c r="G102" s="75">
        <f>H102+I101</f>
        <v>32835076.560000002</v>
      </c>
      <c r="H102" s="75">
        <f>H88++H75++H71+H51+H35+H21+H18</f>
        <v>32835076.560000002</v>
      </c>
      <c r="I102" s="75">
        <f t="shared" ref="I102:J102" si="15">I88++I75++I71+I51+I35+I21+I18</f>
        <v>0</v>
      </c>
      <c r="J102" s="75">
        <f t="shared" si="15"/>
        <v>0</v>
      </c>
    </row>
    <row r="103" spans="1:10" x14ac:dyDescent="0.3">
      <c r="H103" s="193"/>
    </row>
    <row r="105" spans="1:10" x14ac:dyDescent="0.3">
      <c r="A105" s="81"/>
      <c r="D105" s="70" t="s">
        <v>81</v>
      </c>
      <c r="G105" s="70" t="s">
        <v>82</v>
      </c>
    </row>
    <row r="107" spans="1:10" x14ac:dyDescent="0.3">
      <c r="I107" s="153"/>
    </row>
    <row r="108" spans="1:10" x14ac:dyDescent="0.3">
      <c r="A108" s="81"/>
    </row>
    <row r="109" spans="1:10" x14ac:dyDescent="0.3">
      <c r="A109" s="81"/>
      <c r="G109" s="81"/>
    </row>
  </sheetData>
  <autoFilter ref="A17:J102">
    <filterColumn colId="6">
      <filters>
        <filter val="1 082 000,00"/>
        <filter val="1 132 632,00"/>
        <filter val="1 282 483,00"/>
        <filter val="1 841,00"/>
        <filter val="100 000,00"/>
        <filter val="13 230,00"/>
        <filter val="150 000,00"/>
        <filter val="17 005 638,00"/>
        <filter val="17 500,00"/>
        <filter val="2 520,00"/>
        <filter val="24 000,00"/>
        <filter val="250 000,00"/>
        <filter val="3 990,00"/>
        <filter val="30 000,00"/>
        <filter val="350 000,00"/>
        <filter val="49 800,00"/>
        <filter val="5 956 270,00"/>
        <filter val="50 000,00"/>
        <filter val="513 230,00"/>
        <filter val="6 055 870,00"/>
        <filter val="69 600,00"/>
        <filter val="7 722 255,00"/>
        <filter val="8 904 055,00"/>
      </filters>
    </filterColumn>
  </autoFilter>
  <mergeCells count="11">
    <mergeCell ref="A12:J12"/>
    <mergeCell ref="A11:J11"/>
    <mergeCell ref="A15:A16"/>
    <mergeCell ref="B15:B16"/>
    <mergeCell ref="C15:C16"/>
    <mergeCell ref="D15:D16"/>
    <mergeCell ref="E15:E16"/>
    <mergeCell ref="F15:F16"/>
    <mergeCell ref="G15:G16"/>
    <mergeCell ref="H15:H16"/>
    <mergeCell ref="I15:J15"/>
  </mergeCells>
  <printOptions horizontalCentered="1"/>
  <pageMargins left="0.19685039370078741" right="0.19685039370078741" top="0.59055118110236227" bottom="0.39370078740157483" header="0" footer="0"/>
  <pageSetup paperSize="9" scale="70" fitToHeight="50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vt:i4>
      </vt:variant>
      <vt:variant>
        <vt:lpstr>Именованные диапазоны</vt:lpstr>
      </vt:variant>
      <vt:variant>
        <vt:i4>9</vt:i4>
      </vt:variant>
    </vt:vector>
  </HeadingPairs>
  <TitlesOfParts>
    <vt:vector size="14" baseType="lpstr">
      <vt:lpstr>дод 1</vt:lpstr>
      <vt:lpstr>дод 2</vt:lpstr>
      <vt:lpstr>дод 3</vt:lpstr>
      <vt:lpstr>дод 4</vt:lpstr>
      <vt:lpstr>дод 5</vt:lpstr>
      <vt:lpstr>'дод 1'!w1_12</vt:lpstr>
      <vt:lpstr>'дод 1'!Заголовки_для_печати</vt:lpstr>
      <vt:lpstr>'дод 3'!Заголовки_для_печати</vt:lpstr>
      <vt:lpstr>'дод 4'!Заголовки_для_печати</vt:lpstr>
      <vt:lpstr>'дод 5'!Заголовки_для_печати</vt:lpstr>
      <vt:lpstr>'дод 1'!Область_печати</vt:lpstr>
      <vt:lpstr>'дод 3'!Область_печати</vt:lpstr>
      <vt:lpstr>'дод 4'!Область_печати</vt:lpstr>
      <vt:lpstr>'дод 5'!Область_печати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 1</dc:creator>
  <cp:lastModifiedBy>Сергій</cp:lastModifiedBy>
  <cp:lastPrinted>2026-06-23T12:10:30Z</cp:lastPrinted>
  <dcterms:created xsi:type="dcterms:W3CDTF">2021-12-02T12:51:45Z</dcterms:created>
  <dcterms:modified xsi:type="dcterms:W3CDTF">2026-09-25T07:25:00Z</dcterms:modified>
</cp:coreProperties>
</file>