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звіти\бюджет 2026\зміни\425\Ну публікацію\"/>
    </mc:Choice>
  </mc:AlternateContent>
  <bookViews>
    <workbookView xWindow="0" yWindow="0" windowWidth="19200" windowHeight="11640"/>
  </bookViews>
  <sheets>
    <sheet name="дод 1" sheetId="1" r:id="rId1"/>
    <sheet name="дод 2" sheetId="7" r:id="rId2"/>
    <sheet name="дод 3" sheetId="3" r:id="rId3"/>
    <sheet name="дод 4" sheetId="4" r:id="rId4"/>
    <sheet name="дод 5" sheetId="6" r:id="rId5"/>
  </sheets>
  <definedNames>
    <definedName name="_xlnm._FilterDatabase" localSheetId="0" hidden="1">'дод 1'!$A$17:$F$107</definedName>
    <definedName name="_xlnm._FilterDatabase" localSheetId="2" hidden="1">'дод 3'!$A$18:$P$105</definedName>
    <definedName name="_xlnm._FilterDatabase" localSheetId="4" hidden="1">'дод 5'!$A$17:$J$102</definedName>
    <definedName name="w1_12" localSheetId="0">'дод 1'!$B$101</definedName>
    <definedName name="_xlnm.Print_Titles" localSheetId="0">'дод 1'!$17:$17</definedName>
    <definedName name="_xlnm.Print_Titles" localSheetId="2">'дод 3'!$18:$18</definedName>
    <definedName name="_xlnm.Print_Titles" localSheetId="3">'дод 4'!$17:$17</definedName>
    <definedName name="_xlnm.Print_Titles" localSheetId="4">'дод 5'!$17:$17</definedName>
    <definedName name="_xlnm.Print_Area" localSheetId="0">'дод 1'!$A$1:$F$110</definedName>
    <definedName name="_xlnm.Print_Area" localSheetId="2">'дод 3'!$A$1:$P$108</definedName>
    <definedName name="_xlnm.Print_Area" localSheetId="3">'дод 4'!$A$1:$D$131</definedName>
    <definedName name="_xlnm.Print_Area" localSheetId="4">'дод 5'!$A$1:$J$105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90" i="6" l="1"/>
  <c r="H63" i="6"/>
  <c r="F102" i="3"/>
  <c r="F73" i="3"/>
  <c r="F37" i="3"/>
  <c r="F39" i="3"/>
  <c r="F21" i="3"/>
  <c r="D29" i="7"/>
  <c r="D22" i="7"/>
  <c r="H100" i="6"/>
  <c r="D94" i="4"/>
  <c r="F104" i="3"/>
  <c r="H74" i="6"/>
  <c r="H72" i="6"/>
  <c r="H71" i="6" s="1"/>
  <c r="F78" i="3"/>
  <c r="F77" i="3"/>
  <c r="F103" i="3"/>
  <c r="H87" i="6"/>
  <c r="H80" i="6"/>
  <c r="F92" i="3"/>
  <c r="F87" i="3"/>
  <c r="H79" i="6"/>
  <c r="H61" i="6" l="1"/>
  <c r="F71" i="3"/>
  <c r="D104" i="1"/>
  <c r="H62" i="6"/>
  <c r="D58" i="4"/>
  <c r="F72" i="3"/>
  <c r="F85" i="3"/>
  <c r="G94" i="6"/>
  <c r="D103" i="4"/>
  <c r="F60" i="3"/>
  <c r="D93" i="4"/>
  <c r="H97" i="6" l="1"/>
  <c r="G96" i="6"/>
  <c r="G97" i="6"/>
  <c r="H96" i="6"/>
  <c r="H89" i="6" s="1"/>
  <c r="D84" i="4"/>
  <c r="D85" i="4"/>
  <c r="F101" i="3"/>
  <c r="G101" i="3"/>
  <c r="F98" i="3"/>
  <c r="E60" i="3"/>
  <c r="D86" i="1"/>
  <c r="D83" i="4" l="1"/>
  <c r="D21" i="7"/>
  <c r="D76" i="1" l="1"/>
  <c r="D79" i="1"/>
  <c r="G101" i="6" l="1"/>
  <c r="D96" i="4"/>
  <c r="F32" i="3"/>
  <c r="G32" i="3"/>
  <c r="F59" i="3"/>
  <c r="F41" i="3"/>
  <c r="F66" i="3"/>
  <c r="G66" i="3"/>
  <c r="G41" i="3"/>
  <c r="G39" i="3"/>
  <c r="F38" i="3"/>
  <c r="G38" i="3"/>
  <c r="F40" i="3"/>
  <c r="D20" i="1" l="1"/>
  <c r="G100" i="6" l="1"/>
  <c r="G91" i="6" l="1"/>
  <c r="G71" i="6" l="1"/>
  <c r="G74" i="6"/>
  <c r="G72" i="6"/>
  <c r="G62" i="6"/>
  <c r="G58" i="6"/>
  <c r="G57" i="6"/>
  <c r="J76" i="3" l="1"/>
  <c r="J77" i="3"/>
  <c r="F82" i="3"/>
  <c r="F81" i="3"/>
  <c r="E77" i="3"/>
  <c r="F76" i="3"/>
  <c r="F64" i="3"/>
  <c r="F25" i="3" l="1"/>
  <c r="H21" i="3"/>
  <c r="D101" i="4" l="1"/>
  <c r="D98" i="4" s="1"/>
  <c r="D122" i="4" l="1"/>
  <c r="D29" i="4"/>
  <c r="H22" i="6"/>
  <c r="G23" i="6"/>
  <c r="G76" i="6"/>
  <c r="D60" i="4"/>
  <c r="D71" i="4" s="1"/>
  <c r="L36" i="3"/>
  <c r="M36" i="3"/>
  <c r="E82" i="3"/>
  <c r="P82" i="3" s="1"/>
  <c r="J60" i="3"/>
  <c r="P60" i="3" s="1"/>
  <c r="E90" i="1"/>
  <c r="D43" i="4"/>
  <c r="D103" i="1"/>
  <c r="H36" i="6"/>
  <c r="H75" i="6" l="1"/>
  <c r="O83" i="3" l="1"/>
  <c r="K83" i="3" s="1"/>
  <c r="I75" i="6" l="1"/>
  <c r="J75" i="6"/>
  <c r="H60" i="6"/>
  <c r="D48" i="4"/>
  <c r="F70" i="3"/>
  <c r="D45" i="4" l="1"/>
  <c r="D44" i="4" s="1"/>
  <c r="D90" i="1"/>
  <c r="C90" i="1" s="1"/>
  <c r="D95" i="1"/>
  <c r="G75" i="6" l="1"/>
  <c r="D87" i="4" l="1"/>
  <c r="D82" i="4" s="1"/>
  <c r="C22" i="7" l="1"/>
  <c r="C21" i="7"/>
  <c r="D25" i="4" l="1"/>
  <c r="D27" i="4"/>
  <c r="G36" i="3"/>
  <c r="C94" i="1"/>
  <c r="C93" i="1"/>
  <c r="H55" i="6" l="1"/>
  <c r="F67" i="3"/>
  <c r="G63" i="3" l="1"/>
  <c r="H20" i="3" l="1"/>
  <c r="G24" i="3" l="1"/>
  <c r="H24" i="3"/>
  <c r="G33" i="6" l="1"/>
  <c r="F63" i="3" l="1"/>
  <c r="F36" i="3" l="1"/>
  <c r="F24" i="3" l="1"/>
  <c r="E33" i="3"/>
  <c r="P33" i="3" s="1"/>
  <c r="E34" i="3"/>
  <c r="P34" i="3" s="1"/>
  <c r="E81" i="1"/>
  <c r="D36" i="1"/>
  <c r="D26" i="1"/>
  <c r="D19" i="1" l="1"/>
  <c r="D40" i="1"/>
  <c r="E54" i="3"/>
  <c r="E53" i="3"/>
  <c r="E61" i="1"/>
  <c r="E60" i="1" s="1"/>
  <c r="C41" i="1"/>
  <c r="E46" i="3" l="1"/>
  <c r="P46" i="3" s="1"/>
  <c r="C101" i="1"/>
  <c r="G70" i="6" l="1"/>
  <c r="D111" i="4" l="1"/>
  <c r="F105" i="1" l="1"/>
  <c r="I36" i="6" l="1"/>
  <c r="G36" i="6" s="1"/>
  <c r="G50" i="6"/>
  <c r="D62" i="4"/>
  <c r="K61" i="3" l="1"/>
  <c r="J61" i="3"/>
  <c r="E61" i="3"/>
  <c r="P61" i="3" l="1"/>
  <c r="C106" i="1"/>
  <c r="C105" i="1" s="1"/>
  <c r="E105" i="1"/>
  <c r="I28" i="6" l="1"/>
  <c r="G80" i="6" l="1"/>
  <c r="G49" i="6"/>
  <c r="O36" i="3" l="1"/>
  <c r="K87" i="3"/>
  <c r="J87" i="3"/>
  <c r="E87" i="3"/>
  <c r="K59" i="3"/>
  <c r="J59" i="3"/>
  <c r="E59" i="3"/>
  <c r="P87" i="3" l="1"/>
  <c r="P59" i="3"/>
  <c r="C99" i="1" l="1"/>
  <c r="D35" i="4" l="1"/>
  <c r="D98" i="1"/>
  <c r="G61" i="6" l="1"/>
  <c r="K71" i="3"/>
  <c r="J71" i="3"/>
  <c r="E71" i="3"/>
  <c r="C91" i="1"/>
  <c r="P71" i="3" l="1"/>
  <c r="F20" i="3"/>
  <c r="E21" i="3"/>
  <c r="J19" i="6" l="1"/>
  <c r="J18" i="6" s="1"/>
  <c r="I19" i="6"/>
  <c r="I18" i="6" s="1"/>
  <c r="H19" i="6"/>
  <c r="G20" i="6"/>
  <c r="D39" i="4"/>
  <c r="E22" i="3"/>
  <c r="P22" i="3" s="1"/>
  <c r="C102" i="1"/>
  <c r="G19" i="6" l="1"/>
  <c r="H18" i="6"/>
  <c r="G18" i="6" s="1"/>
  <c r="G77" i="6" l="1"/>
  <c r="G69" i="6"/>
  <c r="G37" i="6"/>
  <c r="E83" i="3"/>
  <c r="J83" i="3"/>
  <c r="P83" i="3" l="1"/>
  <c r="J22" i="6" l="1"/>
  <c r="J21" i="6" s="1"/>
  <c r="G99" i="6"/>
  <c r="G92" i="6"/>
  <c r="G90" i="6"/>
  <c r="J89" i="6"/>
  <c r="J88" i="6" s="1"/>
  <c r="I89" i="6"/>
  <c r="I88" i="6" s="1"/>
  <c r="G64" i="6"/>
  <c r="H88" i="6" l="1"/>
  <c r="G89" i="6"/>
  <c r="G88" i="6" l="1"/>
  <c r="D121" i="4"/>
  <c r="D128" i="4" s="1"/>
  <c r="D110" i="4"/>
  <c r="D127" i="4" s="1"/>
  <c r="D37" i="4"/>
  <c r="D33" i="4"/>
  <c r="D21" i="4"/>
  <c r="D30" i="7"/>
  <c r="F29" i="7"/>
  <c r="E29" i="7"/>
  <c r="C29" i="7" s="1"/>
  <c r="F28" i="7"/>
  <c r="E28" i="7"/>
  <c r="D28" i="7"/>
  <c r="E23" i="7"/>
  <c r="E30" i="7" s="1"/>
  <c r="D126" i="4" l="1"/>
  <c r="C28" i="7"/>
  <c r="E27" i="7"/>
  <c r="E26" i="7" s="1"/>
  <c r="E31" i="7" s="1"/>
  <c r="C30" i="7"/>
  <c r="D27" i="7"/>
  <c r="D20" i="7"/>
  <c r="D19" i="7" s="1"/>
  <c r="D24" i="7" s="1"/>
  <c r="F23" i="7"/>
  <c r="E20" i="7"/>
  <c r="C23" i="7"/>
  <c r="C27" i="7" l="1"/>
  <c r="F20" i="7"/>
  <c r="F19" i="7" s="1"/>
  <c r="F24" i="7" s="1"/>
  <c r="F30" i="7"/>
  <c r="F27" i="7" s="1"/>
  <c r="F26" i="7" s="1"/>
  <c r="F31" i="7" s="1"/>
  <c r="D26" i="7"/>
  <c r="C20" i="7"/>
  <c r="E19" i="7"/>
  <c r="D31" i="7" l="1"/>
  <c r="C31" i="7" s="1"/>
  <c r="C26" i="7"/>
  <c r="E24" i="7"/>
  <c r="C24" i="7" s="1"/>
  <c r="C19" i="7"/>
  <c r="K104" i="3" l="1"/>
  <c r="K103" i="3"/>
  <c r="K102" i="3"/>
  <c r="K101" i="3"/>
  <c r="K98" i="3"/>
  <c r="K95" i="3"/>
  <c r="K91" i="3"/>
  <c r="K90" i="3"/>
  <c r="K89" i="3"/>
  <c r="K88" i="3"/>
  <c r="K86" i="3"/>
  <c r="K85" i="3"/>
  <c r="K84" i="3"/>
  <c r="K78" i="3"/>
  <c r="K76" i="3"/>
  <c r="K73" i="3"/>
  <c r="K72" i="3"/>
  <c r="K70" i="3"/>
  <c r="K69" i="3"/>
  <c r="K68" i="3"/>
  <c r="K67" i="3"/>
  <c r="K66" i="3"/>
  <c r="K65" i="3"/>
  <c r="K64" i="3"/>
  <c r="K58" i="3"/>
  <c r="K57" i="3"/>
  <c r="K56" i="3"/>
  <c r="K55" i="3"/>
  <c r="K52" i="3"/>
  <c r="K51" i="3"/>
  <c r="K50" i="3"/>
  <c r="K49" i="3"/>
  <c r="K48" i="3"/>
  <c r="K47" i="3"/>
  <c r="K45" i="3"/>
  <c r="K44" i="3"/>
  <c r="K43" i="3"/>
  <c r="K42" i="3"/>
  <c r="K41" i="3"/>
  <c r="K40" i="3"/>
  <c r="K39" i="3"/>
  <c r="K38" i="3"/>
  <c r="K37" i="3"/>
  <c r="K92" i="3"/>
  <c r="F100" i="3"/>
  <c r="J102" i="3"/>
  <c r="E102" i="3"/>
  <c r="J103" i="3"/>
  <c r="E103" i="3"/>
  <c r="K32" i="3"/>
  <c r="K30" i="3"/>
  <c r="K29" i="3"/>
  <c r="K28" i="3"/>
  <c r="K27" i="3"/>
  <c r="K26" i="3"/>
  <c r="K25" i="3"/>
  <c r="K21" i="3"/>
  <c r="E98" i="1"/>
  <c r="F98" i="1"/>
  <c r="F107" i="1" s="1"/>
  <c r="C100" i="1"/>
  <c r="E86" i="1"/>
  <c r="F86" i="1"/>
  <c r="D85" i="1"/>
  <c r="D84" i="1" s="1"/>
  <c r="E31" i="1"/>
  <c r="F31" i="1"/>
  <c r="E33" i="1"/>
  <c r="F33" i="1"/>
  <c r="E56" i="1"/>
  <c r="F56" i="1"/>
  <c r="E44" i="1"/>
  <c r="E43" i="1" s="1"/>
  <c r="F44" i="1"/>
  <c r="F43" i="1" s="1"/>
  <c r="E40" i="1"/>
  <c r="F40" i="1"/>
  <c r="E38" i="1"/>
  <c r="F38" i="1"/>
  <c r="E36" i="1"/>
  <c r="F36" i="1"/>
  <c r="E29" i="1"/>
  <c r="F29" i="1"/>
  <c r="E20" i="1"/>
  <c r="E19" i="1" s="1"/>
  <c r="F20" i="1"/>
  <c r="F19" i="1" s="1"/>
  <c r="C87" i="1"/>
  <c r="F35" i="1" l="1"/>
  <c r="E35" i="1"/>
  <c r="P102" i="3"/>
  <c r="P103" i="3"/>
  <c r="F85" i="1"/>
  <c r="F84" i="1" s="1"/>
  <c r="E28" i="1"/>
  <c r="E18" i="1" s="1"/>
  <c r="F28" i="1"/>
  <c r="F18" i="1" s="1"/>
  <c r="F83" i="1" s="1"/>
  <c r="K36" i="3"/>
  <c r="E85" i="1"/>
  <c r="E84" i="1" s="1"/>
  <c r="E107" i="1" s="1"/>
  <c r="I67" i="6" l="1"/>
  <c r="I66" i="6" s="1"/>
  <c r="J67" i="6"/>
  <c r="J66" i="6" s="1"/>
  <c r="H67" i="6"/>
  <c r="H66" i="6" s="1"/>
  <c r="I52" i="6"/>
  <c r="I51" i="6" s="1"/>
  <c r="J52" i="6"/>
  <c r="J51" i="6" s="1"/>
  <c r="I35" i="6"/>
  <c r="J36" i="6"/>
  <c r="J35" i="6" s="1"/>
  <c r="H35" i="6"/>
  <c r="D31" i="4"/>
  <c r="D19" i="4"/>
  <c r="D70" i="4" l="1"/>
  <c r="D69" i="4" s="1"/>
  <c r="J102" i="6"/>
  <c r="H52" i="6"/>
  <c r="H51" i="6" s="1"/>
  <c r="E85" i="3"/>
  <c r="J85" i="3"/>
  <c r="P85" i="3" l="1"/>
  <c r="O75" i="3"/>
  <c r="O74" i="3" s="1"/>
  <c r="N75" i="3"/>
  <c r="N74" i="3" s="1"/>
  <c r="M75" i="3"/>
  <c r="M74" i="3" s="1"/>
  <c r="L75" i="3"/>
  <c r="L74" i="3" s="1"/>
  <c r="K75" i="3"/>
  <c r="K74" i="3" s="1"/>
  <c r="I75" i="3"/>
  <c r="I74" i="3" s="1"/>
  <c r="H75" i="3"/>
  <c r="H74" i="3" s="1"/>
  <c r="G75" i="3"/>
  <c r="G74" i="3" s="1"/>
  <c r="F75" i="3"/>
  <c r="F74" i="3" s="1"/>
  <c r="O97" i="3"/>
  <c r="O96" i="3" s="1"/>
  <c r="N97" i="3"/>
  <c r="N96" i="3" s="1"/>
  <c r="M97" i="3"/>
  <c r="M96" i="3" s="1"/>
  <c r="L97" i="3"/>
  <c r="L96" i="3" s="1"/>
  <c r="K97" i="3"/>
  <c r="K96" i="3" s="1"/>
  <c r="I97" i="3"/>
  <c r="I96" i="3" s="1"/>
  <c r="H97" i="3"/>
  <c r="H96" i="3" s="1"/>
  <c r="G97" i="3"/>
  <c r="G96" i="3" s="1"/>
  <c r="F97" i="3"/>
  <c r="F96" i="3" s="1"/>
  <c r="O94" i="3"/>
  <c r="O93" i="3" s="1"/>
  <c r="N94" i="3"/>
  <c r="N93" i="3" s="1"/>
  <c r="M94" i="3"/>
  <c r="M93" i="3" s="1"/>
  <c r="L94" i="3"/>
  <c r="L93" i="3" s="1"/>
  <c r="K94" i="3"/>
  <c r="K93" i="3" s="1"/>
  <c r="I94" i="3"/>
  <c r="I93" i="3" s="1"/>
  <c r="H94" i="3"/>
  <c r="H93" i="3" s="1"/>
  <c r="G94" i="3"/>
  <c r="G93" i="3" s="1"/>
  <c r="F94" i="3"/>
  <c r="F93" i="3" s="1"/>
  <c r="O63" i="3"/>
  <c r="O62" i="3" s="1"/>
  <c r="N63" i="3"/>
  <c r="N62" i="3" s="1"/>
  <c r="M63" i="3"/>
  <c r="M62" i="3" s="1"/>
  <c r="L63" i="3"/>
  <c r="L62" i="3" s="1"/>
  <c r="K63" i="3"/>
  <c r="K62" i="3" s="1"/>
  <c r="I63" i="3"/>
  <c r="I62" i="3" s="1"/>
  <c r="H63" i="3"/>
  <c r="H62" i="3" s="1"/>
  <c r="G62" i="3"/>
  <c r="F62" i="3"/>
  <c r="O24" i="3"/>
  <c r="O23" i="3" s="1"/>
  <c r="N24" i="3"/>
  <c r="N23" i="3" s="1"/>
  <c r="M24" i="3"/>
  <c r="M23" i="3" s="1"/>
  <c r="L24" i="3"/>
  <c r="L23" i="3" s="1"/>
  <c r="K24" i="3"/>
  <c r="K23" i="3" s="1"/>
  <c r="O20" i="3"/>
  <c r="O19" i="3" s="1"/>
  <c r="N20" i="3"/>
  <c r="N19" i="3" s="1"/>
  <c r="M20" i="3"/>
  <c r="M19" i="3" s="1"/>
  <c r="L20" i="3"/>
  <c r="L19" i="3" s="1"/>
  <c r="K20" i="3"/>
  <c r="K19" i="3" s="1"/>
  <c r="I20" i="3"/>
  <c r="I19" i="3" s="1"/>
  <c r="H19" i="3"/>
  <c r="G20" i="3"/>
  <c r="G19" i="3" s="1"/>
  <c r="F19" i="3"/>
  <c r="G87" i="6" l="1"/>
  <c r="J86" i="6"/>
  <c r="J85" i="6" s="1"/>
  <c r="I86" i="6"/>
  <c r="I85" i="6" s="1"/>
  <c r="H86" i="6"/>
  <c r="G84" i="6"/>
  <c r="G83" i="6"/>
  <c r="G82" i="6"/>
  <c r="G81" i="6"/>
  <c r="G79" i="6"/>
  <c r="G78" i="6"/>
  <c r="G68" i="6"/>
  <c r="G67" i="6"/>
  <c r="G66" i="6"/>
  <c r="G65" i="6"/>
  <c r="G63" i="6"/>
  <c r="G60" i="6"/>
  <c r="G59" i="6"/>
  <c r="G56" i="6"/>
  <c r="G55" i="6"/>
  <c r="G54" i="6"/>
  <c r="G53" i="6"/>
  <c r="G52" i="6"/>
  <c r="G51" i="6"/>
  <c r="G48" i="6"/>
  <c r="G47" i="6"/>
  <c r="G46" i="6"/>
  <c r="G45" i="6"/>
  <c r="G44" i="6"/>
  <c r="G43" i="6"/>
  <c r="G42" i="6"/>
  <c r="G41" i="6"/>
  <c r="G40" i="6"/>
  <c r="G39" i="6"/>
  <c r="G38" i="6"/>
  <c r="G35" i="6"/>
  <c r="G34" i="6"/>
  <c r="G29" i="6"/>
  <c r="G28" i="6"/>
  <c r="G27" i="6"/>
  <c r="G26" i="6"/>
  <c r="G25" i="6"/>
  <c r="G24" i="6"/>
  <c r="I22" i="6"/>
  <c r="I21" i="6" s="1"/>
  <c r="I102" i="6" s="1"/>
  <c r="G86" i="6" l="1"/>
  <c r="G22" i="6"/>
  <c r="H21" i="6"/>
  <c r="H85" i="6"/>
  <c r="G85" i="6" s="1"/>
  <c r="H102" i="6" l="1"/>
  <c r="G102" i="6" s="1"/>
  <c r="G21" i="6"/>
  <c r="D78" i="4"/>
  <c r="D77" i="4" s="1"/>
  <c r="J104" i="3" l="1"/>
  <c r="E104" i="3"/>
  <c r="J101" i="3"/>
  <c r="E101" i="3"/>
  <c r="O100" i="3"/>
  <c r="O99" i="3" s="1"/>
  <c r="N100" i="3"/>
  <c r="N99" i="3" s="1"/>
  <c r="M100" i="3"/>
  <c r="M99" i="3" s="1"/>
  <c r="L100" i="3"/>
  <c r="L99" i="3" s="1"/>
  <c r="K100" i="3"/>
  <c r="K99" i="3" s="1"/>
  <c r="I100" i="3"/>
  <c r="I99" i="3" s="1"/>
  <c r="H100" i="3"/>
  <c r="H99" i="3" s="1"/>
  <c r="G100" i="3"/>
  <c r="G99" i="3" s="1"/>
  <c r="J98" i="3"/>
  <c r="E98" i="3"/>
  <c r="J97" i="3"/>
  <c r="E97" i="3"/>
  <c r="J96" i="3"/>
  <c r="E96" i="3"/>
  <c r="J95" i="3"/>
  <c r="E95" i="3"/>
  <c r="J94" i="3"/>
  <c r="E94" i="3"/>
  <c r="J93" i="3"/>
  <c r="E93" i="3"/>
  <c r="J92" i="3"/>
  <c r="E92" i="3"/>
  <c r="J91" i="3"/>
  <c r="E91" i="3"/>
  <c r="J90" i="3"/>
  <c r="E90" i="3"/>
  <c r="J89" i="3"/>
  <c r="E89" i="3"/>
  <c r="J88" i="3"/>
  <c r="E88" i="3"/>
  <c r="J86" i="3"/>
  <c r="E86" i="3"/>
  <c r="J84" i="3"/>
  <c r="E84" i="3"/>
  <c r="J81" i="3"/>
  <c r="E81" i="3"/>
  <c r="O80" i="3"/>
  <c r="N80" i="3"/>
  <c r="N79" i="3" s="1"/>
  <c r="M80" i="3"/>
  <c r="M79" i="3" s="1"/>
  <c r="L80" i="3"/>
  <c r="L79" i="3" s="1"/>
  <c r="K80" i="3"/>
  <c r="K79" i="3" s="1"/>
  <c r="I80" i="3"/>
  <c r="I79" i="3" s="1"/>
  <c r="H80" i="3"/>
  <c r="H79" i="3" s="1"/>
  <c r="G80" i="3"/>
  <c r="G79" i="3" s="1"/>
  <c r="F80" i="3"/>
  <c r="F79" i="3" s="1"/>
  <c r="J78" i="3"/>
  <c r="E78" i="3"/>
  <c r="E76" i="3"/>
  <c r="J75" i="3"/>
  <c r="E75" i="3"/>
  <c r="J74" i="3"/>
  <c r="E74" i="3"/>
  <c r="J73" i="3"/>
  <c r="E73" i="3"/>
  <c r="J72" i="3"/>
  <c r="E72" i="3"/>
  <c r="J70" i="3"/>
  <c r="E70" i="3"/>
  <c r="J69" i="3"/>
  <c r="E69" i="3"/>
  <c r="J68" i="3"/>
  <c r="E68" i="3"/>
  <c r="J67" i="3"/>
  <c r="E67" i="3"/>
  <c r="J66" i="3"/>
  <c r="E66" i="3"/>
  <c r="J65" i="3"/>
  <c r="E65" i="3"/>
  <c r="J64" i="3"/>
  <c r="E64" i="3"/>
  <c r="J63" i="3"/>
  <c r="E63" i="3"/>
  <c r="J62" i="3"/>
  <c r="E62" i="3"/>
  <c r="J58" i="3"/>
  <c r="E58" i="3"/>
  <c r="J57" i="3"/>
  <c r="E57" i="3"/>
  <c r="J56" i="3"/>
  <c r="E56" i="3"/>
  <c r="J55" i="3"/>
  <c r="E55" i="3"/>
  <c r="J52" i="3"/>
  <c r="E52" i="3"/>
  <c r="J51" i="3"/>
  <c r="E51" i="3"/>
  <c r="J50" i="3"/>
  <c r="E50" i="3"/>
  <c r="J49" i="3"/>
  <c r="E49" i="3"/>
  <c r="J48" i="3"/>
  <c r="E48" i="3"/>
  <c r="J47" i="3"/>
  <c r="E47" i="3"/>
  <c r="J45" i="3"/>
  <c r="E45" i="3"/>
  <c r="J44" i="3"/>
  <c r="E44" i="3"/>
  <c r="J43" i="3"/>
  <c r="E43" i="3"/>
  <c r="J42" i="3"/>
  <c r="E42" i="3"/>
  <c r="J41" i="3"/>
  <c r="E41" i="3"/>
  <c r="J40" i="3"/>
  <c r="E40" i="3"/>
  <c r="J39" i="3"/>
  <c r="E39" i="3"/>
  <c r="J38" i="3"/>
  <c r="E38" i="3"/>
  <c r="J37" i="3"/>
  <c r="E37" i="3"/>
  <c r="O35" i="3"/>
  <c r="N36" i="3"/>
  <c r="N35" i="3" s="1"/>
  <c r="M35" i="3"/>
  <c r="K35" i="3"/>
  <c r="I36" i="3"/>
  <c r="I35" i="3" s="1"/>
  <c r="H36" i="3"/>
  <c r="H35" i="3" s="1"/>
  <c r="G35" i="3"/>
  <c r="J32" i="3"/>
  <c r="E32" i="3"/>
  <c r="J31" i="3"/>
  <c r="E31" i="3"/>
  <c r="J30" i="3"/>
  <c r="E30" i="3"/>
  <c r="J29" i="3"/>
  <c r="E29" i="3"/>
  <c r="J28" i="3"/>
  <c r="E28" i="3"/>
  <c r="J27" i="3"/>
  <c r="E27" i="3"/>
  <c r="J26" i="3"/>
  <c r="E26" i="3"/>
  <c r="J25" i="3"/>
  <c r="G23" i="3"/>
  <c r="E25" i="3"/>
  <c r="J24" i="3"/>
  <c r="I24" i="3"/>
  <c r="I23" i="3" s="1"/>
  <c r="H23" i="3"/>
  <c r="J23" i="3"/>
  <c r="J21" i="3"/>
  <c r="J20" i="3"/>
  <c r="E20" i="3"/>
  <c r="J19" i="3"/>
  <c r="E19" i="3"/>
  <c r="H105" i="3" l="1"/>
  <c r="E36" i="3"/>
  <c r="G105" i="3"/>
  <c r="L35" i="3"/>
  <c r="L105" i="3" s="1"/>
  <c r="J36" i="3"/>
  <c r="K105" i="3"/>
  <c r="P25" i="3"/>
  <c r="E24" i="3"/>
  <c r="P24" i="3" s="1"/>
  <c r="J100" i="3"/>
  <c r="J99" i="3"/>
  <c r="N105" i="3"/>
  <c r="P56" i="3"/>
  <c r="P57" i="3"/>
  <c r="P58" i="3"/>
  <c r="P64" i="3"/>
  <c r="P65" i="3"/>
  <c r="P66" i="3"/>
  <c r="P67" i="3"/>
  <c r="P68" i="3"/>
  <c r="P69" i="3"/>
  <c r="P70" i="3"/>
  <c r="P72" i="3"/>
  <c r="P73" i="3"/>
  <c r="P74" i="3"/>
  <c r="J80" i="3"/>
  <c r="E100" i="3"/>
  <c r="M105" i="3"/>
  <c r="I105" i="3"/>
  <c r="O79" i="3"/>
  <c r="J79" i="3" s="1"/>
  <c r="E80" i="3"/>
  <c r="P26" i="3"/>
  <c r="P27" i="3"/>
  <c r="P28" i="3"/>
  <c r="P29" i="3"/>
  <c r="P30" i="3"/>
  <c r="P31" i="3"/>
  <c r="P32" i="3"/>
  <c r="P43" i="3"/>
  <c r="P44" i="3"/>
  <c r="P45" i="3"/>
  <c r="P47" i="3"/>
  <c r="P48" i="3"/>
  <c r="P49" i="3"/>
  <c r="P50" i="3"/>
  <c r="P51" i="3"/>
  <c r="P52" i="3"/>
  <c r="P55" i="3"/>
  <c r="P101" i="3"/>
  <c r="P104" i="3"/>
  <c r="P75" i="3"/>
  <c r="P76" i="3"/>
  <c r="P81" i="3"/>
  <c r="P90" i="3"/>
  <c r="P95" i="3"/>
  <c r="F99" i="3"/>
  <c r="E99" i="3" s="1"/>
  <c r="P78" i="3"/>
  <c r="E79" i="3"/>
  <c r="P98" i="3"/>
  <c r="P96" i="3"/>
  <c r="P97" i="3"/>
  <c r="P93" i="3"/>
  <c r="P94" i="3"/>
  <c r="P91" i="3"/>
  <c r="P92" i="3"/>
  <c r="P84" i="3"/>
  <c r="P86" i="3"/>
  <c r="P88" i="3"/>
  <c r="P89" i="3"/>
  <c r="P62" i="3"/>
  <c r="P63" i="3"/>
  <c r="P37" i="3"/>
  <c r="P38" i="3"/>
  <c r="P39" i="3"/>
  <c r="P40" i="3"/>
  <c r="P41" i="3"/>
  <c r="P42" i="3"/>
  <c r="F35" i="3"/>
  <c r="E35" i="3" s="1"/>
  <c r="P20" i="3"/>
  <c r="P21" i="3"/>
  <c r="P19" i="3"/>
  <c r="F23" i="3"/>
  <c r="P100" i="3" l="1"/>
  <c r="P99" i="3"/>
  <c r="J35" i="3"/>
  <c r="J105" i="3" s="1"/>
  <c r="P36" i="3"/>
  <c r="P79" i="3"/>
  <c r="P80" i="3"/>
  <c r="O105" i="3"/>
  <c r="F105" i="3"/>
  <c r="E23" i="3"/>
  <c r="E105" i="3" s="1"/>
  <c r="P35" i="3" l="1"/>
  <c r="P23" i="3"/>
  <c r="P105" i="3" l="1"/>
  <c r="D44" i="1"/>
  <c r="D53" i="1"/>
  <c r="D56" i="1"/>
  <c r="D66" i="1"/>
  <c r="D71" i="1"/>
  <c r="D73" i="1"/>
  <c r="D75" i="1"/>
  <c r="D78" i="1"/>
  <c r="D77" i="1" s="1"/>
  <c r="E80" i="1"/>
  <c r="E83" i="1" s="1"/>
  <c r="J111" i="3" s="1"/>
  <c r="C42" i="1"/>
  <c r="D38" i="1"/>
  <c r="D29" i="1"/>
  <c r="D33" i="1"/>
  <c r="D31" i="1"/>
  <c r="C19" i="1" l="1"/>
  <c r="D43" i="1"/>
  <c r="D35" i="1"/>
  <c r="C35" i="1" s="1"/>
  <c r="D70" i="1"/>
  <c r="D28" i="1"/>
  <c r="C104" i="1"/>
  <c r="C98" i="1"/>
  <c r="C97" i="1"/>
  <c r="C96" i="1"/>
  <c r="C95" i="1"/>
  <c r="C92" i="1"/>
  <c r="C88" i="1"/>
  <c r="C86" i="1"/>
  <c r="C85" i="1"/>
  <c r="C82" i="1"/>
  <c r="C81" i="1"/>
  <c r="C80" i="1"/>
  <c r="C79" i="1"/>
  <c r="C78" i="1"/>
  <c r="C77" i="1"/>
  <c r="C76" i="1"/>
  <c r="C75" i="1"/>
  <c r="C74" i="1"/>
  <c r="C73" i="1"/>
  <c r="C72" i="1"/>
  <c r="C71" i="1"/>
  <c r="C69" i="1"/>
  <c r="C68" i="1"/>
  <c r="C67" i="1"/>
  <c r="C66" i="1"/>
  <c r="C65" i="1"/>
  <c r="C63" i="1"/>
  <c r="C62" i="1"/>
  <c r="C61" i="1"/>
  <c r="C60" i="1"/>
  <c r="C59" i="1"/>
  <c r="C58" i="1"/>
  <c r="C57" i="1"/>
  <c r="C56" i="1"/>
  <c r="C55" i="1"/>
  <c r="C54" i="1"/>
  <c r="C53" i="1"/>
  <c r="C52" i="1"/>
  <c r="C51" i="1"/>
  <c r="C50" i="1"/>
  <c r="C49" i="1"/>
  <c r="C48" i="1"/>
  <c r="C47" i="1"/>
  <c r="C46" i="1"/>
  <c r="C45" i="1"/>
  <c r="C44" i="1"/>
  <c r="C40" i="1"/>
  <c r="C39" i="1"/>
  <c r="C38" i="1"/>
  <c r="C37" i="1"/>
  <c r="C36" i="1"/>
  <c r="C34" i="1"/>
  <c r="C33" i="1"/>
  <c r="C32" i="1"/>
  <c r="C31" i="1"/>
  <c r="C30" i="1"/>
  <c r="C29" i="1"/>
  <c r="C27" i="1"/>
  <c r="C26" i="1" s="1"/>
  <c r="C25" i="1"/>
  <c r="C24" i="1"/>
  <c r="C23" i="1"/>
  <c r="C22" i="1"/>
  <c r="C21" i="1"/>
  <c r="C20" i="1"/>
  <c r="C28" i="1" l="1"/>
  <c r="D18" i="1"/>
  <c r="C18" i="1" s="1"/>
  <c r="C70" i="1"/>
  <c r="C64" i="1" s="1"/>
  <c r="D64" i="1"/>
  <c r="C84" i="1"/>
  <c r="C43" i="1"/>
  <c r="D83" i="1" l="1"/>
  <c r="D107" i="1" s="1"/>
  <c r="C107" i="1" s="1"/>
  <c r="C83" i="1" l="1"/>
  <c r="P111" i="3"/>
  <c r="E111" i="3" l="1"/>
</calcChain>
</file>

<file path=xl/sharedStrings.xml><?xml version="1.0" encoding="utf-8"?>
<sst xmlns="http://schemas.openxmlformats.org/spreadsheetml/2006/main" count="1128" uniqueCount="516">
  <si>
    <t>Додаток 1</t>
  </si>
  <si>
    <t>(код бюджету)</t>
  </si>
  <si>
    <t>(грн)</t>
  </si>
  <si>
    <t>Код</t>
  </si>
  <si>
    <t>Найменування згідно з Класифікацією доходів бюджету</t>
  </si>
  <si>
    <t>Усього</t>
  </si>
  <si>
    <t>Загальний фонд</t>
  </si>
  <si>
    <t>Спеціальний фонд</t>
  </si>
  <si>
    <t>усього</t>
  </si>
  <si>
    <t>у тому числі бюджет розвитку</t>
  </si>
  <si>
    <t>Податкові надходження  </t>
  </si>
  <si>
    <t>Податки на доходи, податки на прибуток, податки на збільшення ринкової вартості  </t>
  </si>
  <si>
    <t>Податок та збір на доходи фізичних осіб</t>
  </si>
  <si>
    <t>Податок на доходи фізичних осіб, що сплачується податковими агентами, із доходів платника податку у вигляді заробітної плати</t>
  </si>
  <si>
    <t>Податок на доходи фізичних осіб з грошового забезпечення, грошових винагород та інших виплат, одержаних військовослужбовцями та особами рядового і начальницького складу, що сплачується податковими агентами</t>
  </si>
  <si>
    <t>Податок на доходи фізичних осіб, що сплачується податковими агентами, із доходів платника податку інших ніж заробітна плата</t>
  </si>
  <si>
    <t>Податок на доходи фізичних осіб, що сплачується фізичними особами за результатами річного декларування</t>
  </si>
  <si>
    <t>Податок на прибуток підприємств  </t>
  </si>
  <si>
    <t>Податок на прибуток підприємств та фінансових установ комунальної власності </t>
  </si>
  <si>
    <t>Рентна плата та плата за використання інших природних ресурсів </t>
  </si>
  <si>
    <t>Рентна плата за спеціальне використання лісових ресурсів </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</si>
  <si>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 </t>
  </si>
  <si>
    <t>Рентна плата за користування надрами загальнодержавного значення</t>
  </si>
  <si>
    <t>Рентна плата за користування надрами для видобування інших корисних копалин загальнодержавного значення</t>
  </si>
  <si>
    <t>Рентна плата за користування надрами місцевого значення</t>
  </si>
  <si>
    <t>Рентна плата за користування надрами для видобування корисних копалин місцевого значення</t>
  </si>
  <si>
    <t>Внутрішні податки на товари та послуги  </t>
  </si>
  <si>
    <t>Акцизний податок з вироблених в Україні підакцизних товарів (продукції) </t>
  </si>
  <si>
    <t>Пальне</t>
  </si>
  <si>
    <t>Акцизний податок з ввезених на митну територію України підакцизних товарів (продукції) </t>
  </si>
  <si>
    <t>Акцизний податок з реалізації суб`єктами господарювання роздрібної торгівлі підакцизних товарів </t>
  </si>
  <si>
    <t>Місцеві податки та збори, що сплачуються (перераховуються) згідно з Податковим кодексом України</t>
  </si>
  <si>
    <t>Податок на майно </t>
  </si>
  <si>
    <t>Податок на нерухоме майно, відмінне від земельної ділянки, сплачений юридичними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</si>
  <si>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</si>
  <si>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нежитлової нерухомості </t>
  </si>
  <si>
    <t>Податок на нерухоме майно, відмінне від земельної ділянки, сплачений юридичними особами, які є власниками об`єктів нежитлової нерухомості </t>
  </si>
  <si>
    <t>Земельний податок з юридичних осіб </t>
  </si>
  <si>
    <t>Орендна плата з юридичних осіб </t>
  </si>
  <si>
    <t>Земельний податок з фізичних осіб </t>
  </si>
  <si>
    <t>Орендна плата з фізичних осіб </t>
  </si>
  <si>
    <t>Туристичний збір </t>
  </si>
  <si>
    <t>Туристичний збір, сплачений юридичними особами </t>
  </si>
  <si>
    <t>Туристичний збір, сплачений фізичними особами </t>
  </si>
  <si>
    <t>Єдиний податок  </t>
  </si>
  <si>
    <t>Єдиний податок з юридичних осіб </t>
  </si>
  <si>
    <t>Єдиний податок з фізичних осіб </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</si>
  <si>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 </t>
  </si>
  <si>
    <t>Інші податки та збори </t>
  </si>
  <si>
    <t>Екологічний податок </t>
  </si>
  <si>
    <t>Екологічний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</si>
  <si>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Надходження від розміщення відходів у спеціально відведених для цього місцях чи на об`єктах, крім розміщення окремих видів відходів як вторинної сировини </t>
  </si>
  <si>
    <t>Неподаткові надходження  </t>
  </si>
  <si>
    <t>Доходи від власності та підприємницької діяльності  </t>
  </si>
  <si>
    <t>Інші надходження  </t>
  </si>
  <si>
    <t>Адміністративні штрафи та інші санкції </t>
  </si>
  <si>
    <t>Адміністративні штрафи та штрафні санкції за порушення законодавства у сфері виробництва та обігу алкогольних напоїв та тютюнових виробів </t>
  </si>
  <si>
    <t>Плата за встановлення земельного сервітуту</t>
  </si>
  <si>
    <t>Адміністративні збори та платежі, доходи від некомерційної господарської діяльності </t>
  </si>
  <si>
    <t>Плата за надання адміністративних послуг</t>
  </si>
  <si>
    <t>Плата за надання інших адміністративних послуг</t>
  </si>
  <si>
    <t>Надходження від орендної плати за користування цілісним майновим комплексом та іншим державним майном  </t>
  </si>
  <si>
    <t>Надходження від орендної плати за користування майновим комплексом та іншим майном, що перебуває в комунальній власності</t>
  </si>
  <si>
    <t>Державне мито  </t>
  </si>
  <si>
    <t>Інші неподаткові надходження  </t>
  </si>
  <si>
    <t>Власні надходження бюджетних установ  </t>
  </si>
  <si>
    <t>Надходження від плати за послуги, що надаються бюджетними установами згідно із законодавством </t>
  </si>
  <si>
    <t>Усього доходів (без урахування міжбюджетних трансфертів)</t>
  </si>
  <si>
    <t>Офіційні трансферти  </t>
  </si>
  <si>
    <t>Від органів державного управління  </t>
  </si>
  <si>
    <t>Дотації з державного бюджету місцевим бюджетам</t>
  </si>
  <si>
    <t>Базова дотація </t>
  </si>
  <si>
    <t>Субвенції з державного бюджету місцевим бюджетам</t>
  </si>
  <si>
    <t>Освітня субвенція з державного бюджету місцевим бюджетам </t>
  </si>
  <si>
    <t>Дотації з місцевих бюджетів іншим місцевим бюджетам</t>
  </si>
  <si>
    <t>Інші дотації з місцевого бюджету</t>
  </si>
  <si>
    <t>Субвенції з місцевих бюджетів іншим місцевим бюджетам</t>
  </si>
  <si>
    <t>Інші субвенції з місцевого бюджету</t>
  </si>
  <si>
    <t>Разом доходів</t>
  </si>
  <si>
    <t>X</t>
  </si>
  <si>
    <t>Дотація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</si>
  <si>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В.о. начальника фінансового відділу</t>
  </si>
  <si>
    <t>Ганна БОЯРСЬКА</t>
  </si>
  <si>
    <t>14040200</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</si>
  <si>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</si>
  <si>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Додаток 2</t>
  </si>
  <si>
    <t>Святогірської міської військової адміністрації</t>
  </si>
  <si>
    <t>Краматорського району, Донецької області</t>
  </si>
  <si>
    <t>РОЗПОДІЛ</t>
  </si>
  <si>
    <t>0553900000</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</si>
  <si>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</si>
  <si>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</si>
  <si>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</si>
  <si>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</si>
  <si>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</si>
  <si>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Разом</t>
  </si>
  <si>
    <t>видатки споживання</t>
  </si>
  <si>
    <t>з них</t>
  </si>
  <si>
    <t>видатки розвитку</t>
  </si>
  <si>
    <t>оплата праці</t>
  </si>
  <si>
    <t>комунальні послуги та енергоносії</t>
  </si>
  <si>
    <t>-</t>
  </si>
  <si>
    <t>0111</t>
  </si>
  <si>
    <t>Керівництво і управління у відповідній сфері у містах (місті Києві), селищах, селах, територіальних громадах</t>
  </si>
  <si>
    <t>0100000</t>
  </si>
  <si>
    <t>0110000</t>
  </si>
  <si>
    <t>0110150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</si>
  <si>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</si>
  <si>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</si>
  <si>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0117130</t>
  </si>
  <si>
    <t>7130</t>
  </si>
  <si>
    <t>0421</t>
  </si>
  <si>
    <t>Здійснення заходів із землеустрою</t>
  </si>
  <si>
    <t>0117540</t>
  </si>
  <si>
    <t>7540</t>
  </si>
  <si>
    <t>0460</t>
  </si>
  <si>
    <t>Реалізація заходів, спрямованих на підвищення доступності широкосмугового доступу до Інтернету в сільській місцевості</t>
  </si>
  <si>
    <t>0117680</t>
  </si>
  <si>
    <t>7680</t>
  </si>
  <si>
    <t>0490</t>
  </si>
  <si>
    <t>Членські внески до асоціацій органів місцевого самоврядування</t>
  </si>
  <si>
    <t>0117693</t>
  </si>
  <si>
    <t>7693</t>
  </si>
  <si>
    <t>Інші заходи, пов`язані з економічною діяльністю</t>
  </si>
  <si>
    <t>0118110</t>
  </si>
  <si>
    <t>8110</t>
  </si>
  <si>
    <t>0320</t>
  </si>
  <si>
    <t>Заходи із запобігання та ліквідації надзвичайних ситуацій та наслідків стихійного лиха</t>
  </si>
  <si>
    <t>0119800</t>
  </si>
  <si>
    <t>9800</t>
  </si>
  <si>
    <t>0180</t>
  </si>
  <si>
    <t>Субвенція з місцевого бюджету державному бюджету на виконання програм соціально-економічного розвитку регіонів</t>
  </si>
  <si>
    <t>0600000</t>
  </si>
  <si>
    <t>0610000</t>
  </si>
  <si>
    <t>0610160</t>
  </si>
  <si>
    <t>0160</t>
  </si>
  <si>
    <t>0611010</t>
  </si>
  <si>
    <t>1010</t>
  </si>
  <si>
    <t>0910</t>
  </si>
  <si>
    <t>Надання дошкільної освіти</t>
  </si>
  <si>
    <t>0611021</t>
  </si>
  <si>
    <t>1021</t>
  </si>
  <si>
    <t>0921</t>
  </si>
  <si>
    <t>Надання загальної середньої освіти закладами загальної середньої освіти</t>
  </si>
  <si>
    <t>0611031</t>
  </si>
  <si>
    <t>1031</t>
  </si>
  <si>
    <t>0611080</t>
  </si>
  <si>
    <t>1080</t>
  </si>
  <si>
    <t>0960</t>
  </si>
  <si>
    <t>0611142</t>
  </si>
  <si>
    <t>1142</t>
  </si>
  <si>
    <t>0990</t>
  </si>
  <si>
    <t>Інші програми та заходи у сфері освіти</t>
  </si>
  <si>
    <t>0611200</t>
  </si>
  <si>
    <t>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</si>
  <si>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</si>
  <si>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0611210</t>
  </si>
  <si>
    <t>1210</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</si>
  <si>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t>
  </si>
  <si>
    <t>0612010</t>
  </si>
  <si>
    <t>2010</t>
  </si>
  <si>
    <t>0731</t>
  </si>
  <si>
    <t>Багатопрофільна стаціонарна медична допомога населенню</t>
  </si>
  <si>
    <t>0612111</t>
  </si>
  <si>
    <t>2111</t>
  </si>
  <si>
    <t>0726</t>
  </si>
  <si>
    <t>Первинна медична допомога населенню, що надається центрами первинної медичної (медико-санітарної) допомоги</t>
  </si>
  <si>
    <t>0612141</t>
  </si>
  <si>
    <t>2141</t>
  </si>
  <si>
    <t>0763</t>
  </si>
  <si>
    <t>Програми і централізовані заходи з імунопрофілактики</t>
  </si>
  <si>
    <t>0612142</t>
  </si>
  <si>
    <t>2142</t>
  </si>
  <si>
    <t>Програми і централізовані заходи боротьби з туберкульозом</t>
  </si>
  <si>
    <t>0612143</t>
  </si>
  <si>
    <t>2143</t>
  </si>
  <si>
    <t>Програми і централізовані заходи профілактики ВІЛ-інфекції/СНІДу</t>
  </si>
  <si>
    <t>0612144</t>
  </si>
  <si>
    <t>2144</t>
  </si>
  <si>
    <t>Централізовані заходи з лікування хворих на цукровий та нецукровий діабет</t>
  </si>
  <si>
    <t>0612152</t>
  </si>
  <si>
    <t>2152</t>
  </si>
  <si>
    <t>Інші програми та заходи у сфері охорони здоров`я</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</si>
  <si>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</si>
  <si>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</si>
  <si>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</si>
  <si>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</si>
  <si>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</si>
  <si>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</si>
  <si>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</si>
  <si>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</si>
  <si>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0614082</t>
  </si>
  <si>
    <t>4082</t>
  </si>
  <si>
    <t>0829</t>
  </si>
  <si>
    <t>Інші заходи в галузі культури і мистецтва</t>
  </si>
  <si>
    <t>0800000</t>
  </si>
  <si>
    <t>0810000</t>
  </si>
  <si>
    <t>0810160</t>
  </si>
  <si>
    <t>0813032</t>
  </si>
  <si>
    <t>3032</t>
  </si>
  <si>
    <t>1070</t>
  </si>
  <si>
    <t>Надання пільг окремим категоріям громадян з оплати послуг зв`язку</t>
  </si>
  <si>
    <t>0813050</t>
  </si>
  <si>
    <t>3050</t>
  </si>
  <si>
    <t>Пільгове медичне обслуговування осіб, які постраждали внаслідок Чорнобильської катастрофи</t>
  </si>
  <si>
    <t>0813140</t>
  </si>
  <si>
    <t>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</si>
  <si>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</si>
  <si>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</si>
  <si>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0813171</t>
  </si>
  <si>
    <t>3171</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</si>
  <si>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</si>
  <si>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0813180</t>
  </si>
  <si>
    <t>3180</t>
  </si>
  <si>
    <t>1060</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</si>
  <si>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</si>
  <si>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1090</t>
  </si>
  <si>
    <t>0813242</t>
  </si>
  <si>
    <t>3242</t>
  </si>
  <si>
    <t>Інші заходи у сфері соціального захисту і соціального забезпечення</t>
  </si>
  <si>
    <t>0900000</t>
  </si>
  <si>
    <t>Служба у справах дітей Святогірської міської ради</t>
  </si>
  <si>
    <t>0910000</t>
  </si>
  <si>
    <t>0910160</t>
  </si>
  <si>
    <t>0913242</t>
  </si>
  <si>
    <t>1200000</t>
  </si>
  <si>
    <t>1210000</t>
  </si>
  <si>
    <t>1210160</t>
  </si>
  <si>
    <t>1216013</t>
  </si>
  <si>
    <t>6013</t>
  </si>
  <si>
    <t>0620</t>
  </si>
  <si>
    <t>Забезпечення діяльності водопровідно-каналізаційного господарства</t>
  </si>
  <si>
    <t>1216030</t>
  </si>
  <si>
    <t>6030</t>
  </si>
  <si>
    <t>Організація благоустрою населених пунктів</t>
  </si>
  <si>
    <t>1217461</t>
  </si>
  <si>
    <t>7461</t>
  </si>
  <si>
    <t>0456</t>
  </si>
  <si>
    <t>Утримання та розвиток автомобільних доріг та дорожньої інфраструктури за рахунок коштів місцевого бюджету</t>
  </si>
  <si>
    <t>1217463</t>
  </si>
  <si>
    <t>7463</t>
  </si>
  <si>
    <t>Утримання та розвиток автомобільних доріг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</si>
  <si>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</si>
  <si>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</si>
  <si>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1218110</t>
  </si>
  <si>
    <t>1600000</t>
  </si>
  <si>
    <t>1610000</t>
  </si>
  <si>
    <t>1610160</t>
  </si>
  <si>
    <t>3400000</t>
  </si>
  <si>
    <t>3410000</t>
  </si>
  <si>
    <t>Відділ надання адміністративних послуг Святогірської міської ради</t>
  </si>
  <si>
    <t>3410160</t>
  </si>
  <si>
    <t>3700000</t>
  </si>
  <si>
    <t>3710000</t>
  </si>
  <si>
    <t>3710160</t>
  </si>
  <si>
    <t>3719770</t>
  </si>
  <si>
    <t>9770</t>
  </si>
  <si>
    <t>УСЬОГО</t>
  </si>
  <si>
    <t xml:space="preserve">      1. 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</si>
  <si>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</si>
  <si>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</si>
  <si>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</si>
  <si>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41020100</t>
  </si>
  <si>
    <t>99000000000</t>
  </si>
  <si>
    <t>Державний бюджет</t>
  </si>
  <si>
    <t>41033900</t>
  </si>
  <si>
    <t>41040200</t>
  </si>
  <si>
    <t>05100000000</t>
  </si>
  <si>
    <t>Обласний бюджет Донецької області</t>
  </si>
  <si>
    <t>41053900</t>
  </si>
  <si>
    <t>на компенсацію видатків за надання пільг на оплату житлово-комунальних послуг особам з інвалідністю по зору 1 та 2 груп, а також дітям з інвалідністю по зору</t>
  </si>
  <si>
    <t>на забезпечення виплати матеріальної допомоги постраждалим внаслідок Чорнобильської катастрофи</t>
  </si>
  <si>
    <t>ІІ. Трансферти до спеціального фонду бюджету</t>
  </si>
  <si>
    <t xml:space="preserve">УСЬОГО за розділом І та ІІ, у тому числі: </t>
  </si>
  <si>
    <t>загальний фонд</t>
  </si>
  <si>
    <t>спеціальний фонд</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</si>
  <si>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</si>
  <si>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</si>
  <si>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 xml:space="preserve">Код типової програмної класифікації видатків та кредитування місцевого бюджету </t>
  </si>
  <si>
    <t>Найменування трансферту/ Найменування бюджету – отримувача міжбюджетного трансферту</t>
  </si>
  <si>
    <t>І. Трансферти із загального фонду бюджету</t>
  </si>
  <si>
    <t>Реалізація заходів Програми щодо зміцнення захисту населення, території та об’єктів в Святогірській територіальній громаді  від пожеж, надзвичайних ситуацій, стихійних лих та їх наслідків, шляхом покращення матеріально – технічної бази  82 державної пожежно-рятувальної частини 6 державного пожежно – рятувального загону ГУ ДСНС України у Донецькій області на 2022 рік у вигляді субвенції на придбання пально-мастильних матеріалів</t>
  </si>
  <si>
    <t>Реалізація заходів Програми соціально-економічного розвитку Святогірської територіальної громадиі на 2022 рік у вигляді субвенції для виконання завдань з територіальної оборони та національного спротиву у Краматорському районі  військовій частині А7272 МОУ</t>
  </si>
  <si>
    <t>Реалізація заходів Програми соціально-економічного розвитку Святогірської територіальної громадиі на 2022 рік у вигляді субвенції на проведення поточного ремонту інформаційно-просвітницького центру батальону спеціального призначання "ДОНБАС" ВЧ 3035.</t>
  </si>
  <si>
    <t>Районний бюджет Краматорського району</t>
  </si>
  <si>
    <t>ІІ. Трансферти із спеціального фонду бюджету</t>
  </si>
  <si>
    <t/>
  </si>
  <si>
    <t>Найменування місцевої/ регіональної програми</t>
  </si>
  <si>
    <t>Дата та номер документа, яким затверджено місцеву регіональну програму</t>
  </si>
  <si>
    <t>Цільова соціальна програма щодо зміцнення захисту населення, території та об`єктів в Святогірській територіальній громаді від пожеж, надзвичайних ситуацій, стихійних лих та їх наслідків, шляхом покращення матеріально-технічної бази 82 державної пожежно-ря</t>
  </si>
  <si>
    <t>Рішення Святогірської міської ради від 19.11.2021 № 420-ХVII-8</t>
  </si>
  <si>
    <t>Програма розвитку освіти Святогірської міської територіальної громади на 2021-2024 роки</t>
  </si>
  <si>
    <t>Програма розвитку, підтримки закладів охорони здоров`я та надання медичних послуг понад обсяг, передбачений програмою державних гарантій медичного обслуговування населення Святогірської територіальної громади на 2022-2024 роки</t>
  </si>
  <si>
    <t>Рішення Святогірської міської ради від 21.12.2021 № 475-XVIII-8</t>
  </si>
  <si>
    <t>Програма щодо відшкодування витрат за надані пільги з телекомунікаційних послуг пільговим категоріям населення Святогірської територіальної громади на 2022-2024 роки</t>
  </si>
  <si>
    <t>Рішення Святогірської міської ради від 19.11.2021 № 426-ХVІІ-8</t>
  </si>
  <si>
    <t>Рішення Святогірської міської ради від 19.11.2021 № 425-ХVІІ-8</t>
  </si>
  <si>
    <t>Програма підтримки соціально-незахищених верст населення Святогірської міської територіальної громади "Турбота" на 2021-2025 роки</t>
  </si>
  <si>
    <t>Рішення Святогірської міської ради від 21.07.2021 № 203-ХІІ-8</t>
  </si>
  <si>
    <t xml:space="preserve"> Програма підтримки дітей, які постраждали внаслідок воєнних дій та збройних конфліктів_x000D_
підтримки дітей, які постраждали внаслідок воєнних дій та збройних конфліктів  Святогірської територіальної громади на 2022-2024 роки</t>
  </si>
  <si>
    <t>Рішення Святогірської міської ради від 19.11.2021 № 422-ХVІІ-8</t>
  </si>
  <si>
    <t>1216020</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</si>
  <si>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</si>
  <si>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</si>
  <si>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Забезпечення функціонування підприємств, установ та організацій, що виробляють, виконують та/або надають житлово-комунальні послуги</t>
  </si>
  <si>
    <t xml:space="preserve">до розпорядження начальника </t>
  </si>
  <si>
    <t xml:space="preserve">                         Святогірської міської військової адміністрації</t>
  </si>
  <si>
    <t xml:space="preserve">                         Краматорського району, Донецької області</t>
  </si>
  <si>
    <t xml:space="preserve">                         до розпорядження начальника </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</si>
  <si>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</si>
  <si>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3717370</t>
  </si>
  <si>
    <t>3719150</t>
  </si>
  <si>
    <t>Найменування згідно з Класифікацією фінансування бюджету</t>
  </si>
  <si>
    <t>Фінансування за типом кредитора</t>
  </si>
  <si>
    <t>Внутрішнє фінансування</t>
  </si>
  <si>
    <t>Фінансування за рахунок зміни залишків коштів бюджетів</t>
  </si>
  <si>
    <t>На початок періоду</t>
  </si>
  <si>
    <t>На кінець періоду</t>
  </si>
  <si>
    <t>Кошти, що передаються із загального фонду бюджету до бюджету розвитку (спеціального фонду)</t>
  </si>
  <si>
    <t>Загальне фінансування</t>
  </si>
  <si>
    <t>Фінансування за типом боргового зобов’язання</t>
  </si>
  <si>
    <t>Фінансування за активними операціями</t>
  </si>
  <si>
    <t>Зміни обсягів бюджетних коштів</t>
  </si>
  <si>
    <t>37 1 977 0</t>
  </si>
  <si>
    <t>в тому числі:</t>
  </si>
  <si>
    <t>37 1 9150</t>
  </si>
  <si>
    <t>01 1 980 0</t>
  </si>
  <si>
    <t>Додаток 3</t>
  </si>
  <si>
    <t xml:space="preserve">                         Додаток 4</t>
  </si>
  <si>
    <t>Додаток 5</t>
  </si>
  <si>
    <t>Розпорядження начальника Святогірської міської військової адміністрації від 21.12.2022 № 80 (зі змінами та доповненнями)</t>
  </si>
  <si>
    <t>Рішення Святогірської міської ради від 28.10.2021 № 388-ХVІ-8</t>
  </si>
  <si>
    <t>Розпорядження начальника Святогірської міської військової адміністрації від 21.12.2022 № 80</t>
  </si>
  <si>
    <t>Розділ 2.15. "Житлове господарство та комунальна інфраструктура" Програми соціально-економічного та культурного розвитку Святогірської територіальної громади на 2023 рік</t>
  </si>
  <si>
    <t>Розділ 2.12. "Захист населення і територій від надзвичайних ситуацій" Програми соціально-економічного та культурного розвитку Святогірської територіальної громади на 2023 рік</t>
  </si>
  <si>
    <t>Реалізація інших заходів щодо соціально-економічного розвитку територій</t>
  </si>
  <si>
    <t>0510000000</t>
  </si>
  <si>
    <t>0531820000</t>
  </si>
  <si>
    <t>9900000000</t>
  </si>
  <si>
    <t>В.о. начальника  фінансового відділу</t>
  </si>
  <si>
    <t>Експлуатація та технічне обслуговування житлового фонду</t>
  </si>
  <si>
    <t>0610</t>
  </si>
  <si>
    <t>1217310</t>
  </si>
  <si>
    <t>Будівництво 1 об'єктів житлово-комунального господарства</t>
  </si>
  <si>
    <t>0443</t>
  </si>
  <si>
    <t>Субвенція з місцевого бюджету на здійснення природоохоронних заходів</t>
  </si>
  <si>
    <t>41053600</t>
  </si>
  <si>
    <t>'Розпорядження начальника Святогірської міської військової адміністрації від 21.12.2022 № 80 (зі змінами та доповненнями)</t>
  </si>
  <si>
    <t>Програмаоздоровлення та відпочинку дітей Святогірської територіальної громади на 2022 - 2024 роки.</t>
  </si>
  <si>
    <t>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t>
  </si>
  <si>
    <t>0618110</t>
  </si>
  <si>
    <r>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безпосереденьо в районах та у період здійснення зазначених заходів, та визнані особами з інвалідністю внаслідок війни III групи відповідно до </t>
    </r>
    <r>
      <rPr>
        <u/>
        <sz val="14"/>
        <rFont val="Times New Roman"/>
        <family val="1"/>
        <charset val="204"/>
      </rPr>
      <t>пунктів 11 - 14</t>
    </r>
    <r>
      <rPr>
        <sz val="14"/>
        <rFont val="Times New Roman"/>
        <family val="1"/>
        <charset val="204"/>
      </rPr>
      <t> частини другої статті 7 або учасниками бойових дій відповідно до </t>
    </r>
    <r>
      <rPr>
        <u/>
        <sz val="14"/>
        <rFont val="Times New Roman"/>
        <family val="1"/>
        <charset val="204"/>
      </rPr>
      <t>пунктів 19 - 20</t>
    </r>
    <r>
      <rPr>
        <sz val="14"/>
        <rFont val="Times New Roman"/>
        <family val="1"/>
        <charset val="204"/>
      </rPr>
      <t>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r>
  </si>
  <si>
    <t>41050600</t>
  </si>
  <si>
    <t>Субвенція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безпосереденьо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19 - 20 частини першої статті 6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</si>
  <si>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на відшкодування вартості путівки до дитячого закладу оздоровлення та відпочинку для оздоровлення або відпочинку дітей, які виховуються в сім'ях з дітьми, у тому числі тих, які зареєстровані/задекларовані на території Донецької області та переместились (евакуювались) за її межі)</t>
  </si>
  <si>
    <t>Субвенція з місцевого бюджету на облаштування безпечних умов у закладах загальної середньої освіти за рахунок відповідної субвенції з державного бюджету</t>
  </si>
  <si>
    <t>Субвенція з місцевого бюджету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 за рахунок відповідної субвенції з державного бюджету</t>
  </si>
  <si>
    <t>0617384</t>
  </si>
  <si>
    <t>Реалізація проектів і заходів за рахунок залишку коштів спеціального фонду державного бюджету, що утворилися станом на 01 січня 2023 року, джерелом формування яких були кредити (позики) від Європейського інвестиційного банку</t>
  </si>
  <si>
    <t>Розділ 2.7. "Освіта"   Програми соціально-економічного та культурного розвитку Святогірської територіальної громади на 2023 рік</t>
  </si>
  <si>
    <t>Заходи щодо забезпечення деевинною паливною (дровами) окремих категорій громадян Святогірської міської територіальної громади" Програми соціально-економічного та культурного розвитку Святогірської територіальної громади на 2023 рік</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</si>
  <si>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</si>
  <si>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t>
  </si>
  <si>
    <t>Програма підтримки та інтеграції внутрішньо переміщених осіб Краматорського району, які тимчасово компактно проживають у більш безпечних регіонах України на 2023 рік</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</si>
  <si>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</si>
  <si>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 xml:space="preserve">Проект 'розпорядження начальника Святогірської міської військової адміністрації </t>
  </si>
  <si>
    <t>Податок на доходи фізичних осіб у вигляді мінімального податкового зобов'язання, що підлягає сплаті фізичними особами</t>
  </si>
  <si>
    <t>Плата за оренду майна бюджетних установ, що здійснюється відповідно до Закону України "Про оренду державного та комунального майна </t>
  </si>
  <si>
    <t>0114030</t>
  </si>
  <si>
    <t>0114060</t>
  </si>
  <si>
    <t>0114082</t>
  </si>
  <si>
    <t>на надання матеріальної допомоги членам сімей загиблих (померлих) Захисників та Захисниць України, у тому числі тим, які задекларовані/зареєстровані на території Донецької області та переместилися (евакуювалися) за її межі</t>
  </si>
  <si>
    <t>на надання матеріальної допомоги постраждалим внаслідок Чорнобильської катастрофи, у тому числі тим, які задекларовані/зареєстровані на території Донецької області та переместилися (евакуювалися) за її межі</t>
  </si>
  <si>
    <t>05504000000</t>
  </si>
  <si>
    <t>Бюджет Миколаївської міської територіальної громади</t>
  </si>
  <si>
    <t xml:space="preserve">на вивиконання заходу "Підвищення обороноздатності та підтримки високого рівня боєготовності військової частини А 7037 для виконання завдань територіальної оборони Краматорського району" проекту Програми забезпечення заходів з підготовки територіальної оборони Краматорського району на 2025-2026 роки для придбання безпілотних літальних апаратів </t>
  </si>
  <si>
    <t>«Програми економічного і соціального розвитку Святогірської міської територіальної  громади на 2025 рік»</t>
  </si>
  <si>
    <t xml:space="preserve">розпорядження начальника Святогірської міської військової адміністрації 27.05.2024.року № 630 </t>
  </si>
  <si>
    <t>Розділ 2.11. "Культура і туризм"«Програми економічного і соціального розвитку Святогірської міської територіальної  громади на 2025 рік»</t>
  </si>
  <si>
    <t>Відділ освіти Святогірської міської ради</t>
  </si>
  <si>
    <t>Розпорядження начальника Святогірської міської військової адміністрації від 24.12.2024 №1158</t>
  </si>
  <si>
    <t>Розпорядження начальника Святогірської міської військової адміністрації від 03.12.2024 № 1113                                                            'Розпорядження начальника Святогірської міської військової адміністрації від 24.12.2024 №1158</t>
  </si>
  <si>
    <t>Розділ 2.12. "Захист населення і територій від надзвичайних ситуацій" "Програми економічного і соціального розвитку Святогірської територіальної громади на 2025 рік"</t>
  </si>
  <si>
    <t>Програма пібтримки громадян  Святогірської міської територіальної громади, які постраждали внаслідок Чорнобильської катастрофи</t>
  </si>
  <si>
    <t>Програма "Розвиток, реконструкція і ремонт дорожньої і пішохідно-тротуарної мережі Святогірської міської територіальної громади на 2025 рік'         Розділ 2.5. "Дорожньо-транспортний комплекс" Програми економічного і соціального розвитку Святогірської територіальної громади на 2025 рік"</t>
  </si>
  <si>
    <t>0813121</t>
  </si>
  <si>
    <t>3121</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</si>
  <si>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</si>
  <si>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Субвенція з державного бюджету місцевим бюджетам на надання державної підтримки особам з особливими освітніми потребами</t>
  </si>
  <si>
    <t>Субвенція з державного бюджету місцевим бюджетам на здійснення доплат педагогічним працівникам закладів загальної середньої освіти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</si>
  <si>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</si>
  <si>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</si>
  <si>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</si>
  <si>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 xml:space="preserve">на здійснення заходів із запобігання виникненню надзвичайних ситуацій в регіоні та ліквідації їх наслідків, з оборони та захисту територій Донецької області та інших невідкладних дій, пов'язаних з воєнним станом </t>
  </si>
  <si>
    <t>Відділ освіти Святогірської міської ради Краматопського району Донецької області</t>
  </si>
  <si>
    <t>Святогірська міська рада Краматорського району Донецької області</t>
  </si>
  <si>
    <t>Святогірська міська військова адміністрація Краматорського району Донецької області</t>
  </si>
  <si>
    <t>Відділ соціального захисту населення Святогірської міської ради Краматорського району Донецької області</t>
  </si>
  <si>
    <t>Служба у справах дітей Святогірської міської ради Краматорського району Донецької області</t>
  </si>
  <si>
    <t>Відділ комунальної власності, житлово комунального господарства, будівництва, транспорту та благоустрою Святогірської міської ради Краматорського району Донецької області</t>
  </si>
  <si>
    <t>Відділ архітетктурно-будівельного контролю Святогірської міської ради Краматорського району Донецької області</t>
  </si>
  <si>
    <t>Центр надання адміністративних послуг Святогірської міської ради Краматорського району Донецької області</t>
  </si>
  <si>
    <t>Фінансовий відділ Святогірської міської ради Краматорського району Донецької області</t>
  </si>
  <si>
    <t>Святогiрська мiська військова адміністрація Краматорського району Донецької області</t>
  </si>
  <si>
    <t>Святогiрська мiська рада Краматорського району Донецької області</t>
  </si>
  <si>
    <t>Відділ комунальної власності, житлово-комунального господарства, будівництва, транспорту та благоустрою Святогірської міської ради Краматорського району Донецької області</t>
  </si>
  <si>
    <t xml:space="preserve"> "Програми економічного і соціального розвитку Святогірської територіальної громади на 2025 рік"</t>
  </si>
  <si>
    <t>Програма оздоровлення та відпочинку дітей Святогірської територіальної громади на 2025-2027 роки.</t>
  </si>
  <si>
    <t>'Розпорядження начальника Святогірської міської військової адміністрації від 02.12.2024 №1105</t>
  </si>
  <si>
    <t>Надання спеціалізованої освіти мистецькими школами</t>
  </si>
  <si>
    <t xml:space="preserve"> 
Надання спеціалізованої освіти мистецькими школами</t>
  </si>
  <si>
    <t xml:space="preserve">Субвенція з місцевого бюджету державному бюджету на виконання програм соціально-економічного розвитку регіонів
</t>
  </si>
  <si>
    <t xml:space="preserve"> на надання допомоги ГУ СБУ в Донецькій та Луганській областях для покращення матеріально-технічного забезпечення для виконання військового обов'язку, припинення діяльності незаконних воєнізованих формувань, виявлення та припинення розвідувально-підривної діяльності країни-агресора, виконання завдань із захисту і охорони життя, прав, свобод і законних інтересів громадян України, суспільства і держави від злочинних та інших протиправних посягань</t>
  </si>
  <si>
    <t>0118313</t>
  </si>
  <si>
    <t>8313</t>
  </si>
  <si>
    <t xml:space="preserve">Ліквідація іншого забруднення навколишнього природного середовища
</t>
  </si>
  <si>
    <t>0513</t>
  </si>
  <si>
    <t xml:space="preserve">                                                                                                                                                                             </t>
  </si>
  <si>
    <t>на преміювання працівників Святогірської ТГ, які сумліно виконують свої функціональні обов'язки в напружених умовах у період воєного стану та з дня гагоди професійного свята - Дня медичного працівника</t>
  </si>
  <si>
    <t>Розділ 2.7. "Освіта"  п.1 "роведення експертної оцінки пошкоджень заладів освіти"  Програма економічного I соціально розвитку Святогірської територіальної громади на 2025 рік</t>
  </si>
  <si>
    <t>Послуги із провденням технічного обслуговування транспортних засобів 6 ДПРЗ ГУ
ДСНС України у Донецькій області</t>
  </si>
  <si>
    <t>Забезпечення екологічно безпечного збирання, перевезення, зберігання, оброблення, видалення і захоронення відходів, а саме: здійснення заходів із локалізації і ліквідації несанкціонованих звалищ відходів на території Святогірської міської територіальної громади Краматорського району Донецької області</t>
  </si>
  <si>
    <t xml:space="preserve"> Розпорядження начальника Святогірської міської військової адміністрації від 23.12.2024 №1158</t>
  </si>
  <si>
    <t>на співфінансування капітального ремонту підвального приміщення багатоповерхового будинку «Капітальний ремонт внутрішніх підвальних приміщень для облаштування споруди цивільного захисту (найпростішого укриття) за адресою: Донецька область, Краматорський р-н, м.Святогірськ, вул. Мазепи Івана, 57»</t>
  </si>
  <si>
    <t>Субвенція з місцевого бюджету на реалізацію проектів співробітництва між територіальними громадами</t>
  </si>
  <si>
    <t>19556000000</t>
  </si>
  <si>
    <t>Бюджет Великоберезовицької селищної територіальної громади</t>
  </si>
  <si>
    <t>41053800</t>
  </si>
  <si>
    <t>22523000000</t>
  </si>
  <si>
    <t xml:space="preserve"> на поточний ремонт комунальної власності, які є складовими трансплртно-логістичної системи в умовах воєнного стану, за рахунок іншої субвенції з місцевого бюджету</t>
  </si>
  <si>
    <t xml:space="preserve">  Розділ 2.5. "Дорожньо-транспортний комплекс" Програми економічного і соціального розвитку Святогірської територіальної громади на 2025 рік"</t>
  </si>
  <si>
    <t xml:space="preserve">       'Розпорядження начальника Святогірської міської військової адміністрації від 24.12.2024 №1158</t>
  </si>
  <si>
    <t>'Інші заходи у сфері соціального захисту і соціального забезпечення</t>
  </si>
  <si>
    <t>Бюджет Великоберезовицької селищної територіальної громади Тернопільського району Тернопільської області</t>
  </si>
  <si>
    <t>Бюджет Чемеровецкої селищної територіальної громади Кам'янець-Подільського району Хмельницької області</t>
  </si>
  <si>
    <t>на здійснення заходів з оборони та захисту території області та інших невідкладних дій у період воєнного стану</t>
  </si>
  <si>
    <t xml:space="preserve">Орендна плата за водні об'єкти (їх частини), що надаються в користування на умовах оренди Радою міністрів Автономної Республіки Крим, обласними, районними, Київською та Севастопольською міськими державними адміністраціями, місцевими радами </t>
  </si>
  <si>
    <t>Доходи місцевого бюджету на 2026 рік</t>
  </si>
  <si>
    <t>ФІНАНСУВАННЯ
місцевого бюджету на 2026 рік</t>
  </si>
  <si>
    <t>видатків місцевого бюджету на 2026 рік</t>
  </si>
  <si>
    <t>0813160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</si>
  <si>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</si>
  <si>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0813191</t>
  </si>
  <si>
    <t>Інші видатки на соціальний захист ветеранів війни та праці</t>
  </si>
  <si>
    <t>0913114</t>
  </si>
  <si>
    <t>Забезпечення умов для догляду та виховання дітей і молоді в дитячих будинках сімейного типу, прийомних сім’ях та сім’ях патронатних вихователів</t>
  </si>
  <si>
    <t>Міжбюджетні трансферти на 2026 рік</t>
  </si>
  <si>
    <t>на фінансування Програми Фінансової підтримки комунального підприємства Краматорської районної ради "Трудовий архів" на 2026 рік</t>
  </si>
  <si>
    <t>на фінансування Програми підтримки та інтеграції мешканців Краматорського району, які мають статус внутрішньо переміщених осіб та тимчасово компактно проживають у більш безпечних регіонах України на 2026 рік</t>
  </si>
  <si>
    <t>для фінансового забезпечення реалізації виконання Постанови КМУ від 25.04.2023 №391 "Деякі питання оплати праці працівників державних органів та органів місцевого самоврядування під час воєнного стану" та від 09.11.2016 №787 "Про видатки на оплату праці працівників місцевих державних адміністрацій" (зі змінами) Краматорської районною державною адміністрацією, районною військовою адміністрацією та її структурними підрозділами проекту Програми економічного соціального розвитку Краматорського району на 2026 рік</t>
  </si>
  <si>
    <t>фінансування Цільової Програми підтримки соціального захисту населення Краматорського району на 2026 рік</t>
  </si>
  <si>
    <t>Проєкт 'Розпорядження начальника Святогірської міської військової адміністрації від  №</t>
  </si>
  <si>
    <t>Розподіл витрат місцевого бюджету на реалізацію місцевих/регіональних програм у 2026 році та заходів  Програми економічного і соціального розвитку Святогірської міської територіальної громади на 2026 рік</t>
  </si>
  <si>
    <t>«Програми економічного і соціального розвитку Святогірської міської територіальної  громади на 2026 рік»</t>
  </si>
  <si>
    <t>Програма підтримки соціального захисту населення Краматорського району на 2026 рік</t>
  </si>
  <si>
    <t>Програма фінансової підтримки комунального підприємства Краматорської районної ради "Трудовий архів" на 2026 рік</t>
  </si>
  <si>
    <t>Програма підтримки та інтеграції мешканців Краматорського району, які мають статус внутрішньо переміщених осіб та тимчасово компактно проживають у більш безпечних регіонах України на 2026 рік</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</si>
  <si>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</si>
  <si>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 xml:space="preserve"> 
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</si>
  <si>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Програма надання соціальних гарантій фізичним особам, які надають соціальні послуги з догляду на непрофесійній основі на 2024 – 2026 роки, розділ 2.17  "Програми економічного і соціального розвитку Святогірської міської територіальної громади на 2026 рік"</t>
  </si>
  <si>
    <t>Програма соціальної підтримки ветеранів війни, Захисників та Захисниць України, військовослужбовців, членів сімей загиблих військовослужбовців Святогірської міської територіальної громади на 2026 рік</t>
  </si>
  <si>
    <t>Комплексна програма захисту прав дітей «Дитинство» Святогірської міської територіальної громади на 2026 -2028 роки</t>
  </si>
  <si>
    <t xml:space="preserve"> на надання фінансової підтримки ОКП «Донецьктеплокомуненерго»  для забезпечення здійснення розрахунків за електричну енергію, послуги з її розподілу та перетікань реактивної електроенергії</t>
  </si>
  <si>
    <t>на забезпечення виконання завдань по розділу "Охорони здоров'я" Програми економічного і соціального розвитку Святогірської територіальної громади на 2026 рік</t>
  </si>
  <si>
    <t>Програма економічного і соціального розвитку Святогірської міської територіальної  громади на 2026 рік»</t>
  </si>
  <si>
    <t>Фінансове забезпечення Краматорської військової адміністрації Програми соціального і економічного розвитку Краматорського району Донецької області</t>
  </si>
  <si>
    <t>На забезпечення виконання завдань по розділу 2.14 "Охорони здоров'я" Програми економічного і соціального розвитку Святогірської територіальної громади на 2026 рік</t>
  </si>
  <si>
    <t>Субвенція  обласному бюджету на надання фінансової підтримки ОКП «Донецьктеплокомуненерго»  для забезпечення здійснення розрахунків за електричну енергію, послуги з її розподілу та перетікань реактивної електроенергії</t>
  </si>
  <si>
    <t>Розділ 2.1 "Захист населення і територій від надзвичайних ситуацій" Програми економічного і соціального розвитку Святогірської територіальної громади на 2026 рік</t>
  </si>
  <si>
    <t>Розділ 2.16  "Культура та утвердження національної і локальної ідентичності" Програми економічного і соціального розвитку Святогірської територіальної громади на 2026 рік</t>
  </si>
  <si>
    <t xml:space="preserve"> 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</si>
  <si>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</si>
  <si>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Розділ 2.4 "Житлове господарство та комунальна інфраструктура, енергозабезпечення та енергоефективність" Програми економічного і соціального розвитку Святогірської міської територіальної громади на 2026 рік"</t>
  </si>
  <si>
    <t>Додаткова дотація з державного бюджету на функціонування територій на яких ведуться бойові дії</t>
  </si>
  <si>
    <t xml:space="preserve">на виконання окремих державних програм соціального захисту населення: пільгове медичне обслуговування осіб, які постраждали внаслідок Чорнобильської катастрофи; поховання учасників бойових дій та осіб з інвалідністю внаслідок війни; компенсаційні виплати особам з інвалідністю на бензин, ремонт, технічне обслуговування автомобілів, мотоколясок і на транспортне обслуговування; встановлення телефонів особам з інвалідністю I і II груп </t>
  </si>
  <si>
    <t xml:space="preserve">Розпорядження голови Краматорської районної державної адміністрації, начальника Краматорської районної військової адміністрації  </t>
  </si>
  <si>
    <t xml:space="preserve">                         24.12.2025 № 764</t>
  </si>
  <si>
    <t>24.12.2025 № 764</t>
  </si>
  <si>
    <t>24.12.2025   № 764</t>
  </si>
  <si>
    <t xml:space="preserve">(в редакції розпорядження начальника </t>
  </si>
  <si>
    <t xml:space="preserve">                         (в редакції розпорядження начальника </t>
  </si>
  <si>
    <t xml:space="preserve">                          Краматорського району, Донецької області</t>
  </si>
  <si>
    <t xml:space="preserve">Сприяння зміцненню матеріально-технічного забезпечення пожежо-рятувальних підрозділів 6 ДПРЗ ГУ ДСНС України у Донецькій області шляхом придбання вантажного автомобіля загального призначення </t>
  </si>
  <si>
    <t xml:space="preserve"> Розпорядження начальника Святогірської міської військової адміністрації від 19.01.2026 №16</t>
  </si>
  <si>
    <t>Розділ 2.1 "Захист населення і територій від надзвичайних ситуацій  'Програми економічного і соціального розвитку Святогірської територіальної громади на 2026 рік</t>
  </si>
  <si>
    <t>Програми підтримки
громадян Святогірської міської територіальної громади, які постраждали внаслідок Чорнобильської катастрофи на 2026-2027 роки, розділ                                 2.17 "Соціальний захист населення, у тому числі з числа внутрішньо переміщених осіб. Підтримка ветеранів війни, членів їх сімей та сімей загиблих (померлих) Захисників та Захисниць України" Програми економічного і соціального розвитку Святогірської міської територіальної громади на 2026 рік"</t>
  </si>
  <si>
    <t xml:space="preserve"> Розпорядження начальника Святогірської міської військової адміністрації від 27.01.2026 №47                                                       Розпорядження начальника Святогірської міської військової адміністрації від 07.01.2026 №1 </t>
  </si>
  <si>
    <t>Розпорядження начальника Святогірської міської військової адміністрації від 07.01.2026 №1                                                          Розпорядження начальника Святогірської міської військової адміністрації від 19.01.2026 №16</t>
  </si>
  <si>
    <t xml:space="preserve">Розпорядження начальника Святогірської міської військової адміністрації від 07.01.2026 №1 </t>
  </si>
  <si>
    <t xml:space="preserve"> Розпорядження начальника Святогірської міської військової адміністрації від 19.01.2026 №16                                        Розпорядження начальника Святогірської міської військової адміністрації від 07.01.2026 №1 </t>
  </si>
  <si>
    <t>Розпорядження начальника Святогірської міської військової адміністрації від 07.01.2026 №2</t>
  </si>
  <si>
    <t>05541000000</t>
  </si>
  <si>
    <t>Бюджет Слов'янської міської територіальної громади</t>
  </si>
  <si>
    <t>Програма оздоровлення та відпочинку дітей Святогірської територіальної громади на 2025-2027 роки</t>
  </si>
  <si>
    <t>Розпорядження начальника Святогірської міської військової адміністрації  від 02.12.2024 № 1105</t>
  </si>
  <si>
    <t xml:space="preserve"> Розпорядження начальника Святогірської міської військової адміністрації від 19.01.2026 №16 (зі змінами)</t>
  </si>
  <si>
    <t>Розпорядження начальника Святогірської міської військової адміністрації  від 23.02.2026 № 91</t>
  </si>
  <si>
    <t>на закупівлю причепу вантажопід'ємністю 5тонн для транспортування палебійних установок які використовуються для облаштування доріг антидроновим захистом</t>
  </si>
  <si>
    <t xml:space="preserve"> надання матеріально-технічноїдопомоги на облаштування житлових приміщень прийомних сімей та дитячих будинків сімейного типу Програма підтримки та розвитку сімейних форм виховання Святогірської територіальної громади на 2026-2028 роки</t>
  </si>
  <si>
    <t xml:space="preserve">  придбання подарунків для дітей, що опинились в складних життєвих обставинах  Програма підтримки та розвитку сімейних форм виховання Святогірської територіальної громади на 2026-2028 роки</t>
  </si>
  <si>
    <t>для погашення податкового боргу зі сплати земельного податку КП Слов'янської міської ради "Словміськводоканал"</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</si>
  <si>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</si>
  <si>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на відшкодування вартості санаторно-курортного лікування ветеранів війни, у тому числі тих, які мають задеклароване/зареєстроване місце проживання (перебування) на території Донецької області та перемістились (евакуювались) за її межі</t>
  </si>
  <si>
    <t>фінансова підтримка ОКП "ДТКЕ" для здійснення розрахунків, щодо погашення заборгованності з ПДФО</t>
  </si>
  <si>
    <t>на надання фінансової підтримки ОКП  "Донецьктеплокомуненерго" для забезпечення погашення кредиторської заборгованості зі сплати податку на доходи фізичних осіб</t>
  </si>
  <si>
    <t>0554100000</t>
  </si>
  <si>
    <t>на відшкодування вартості путівки до дитячого закладу оздоровлення та відпочинку і соціальної уваги та підтримку та дітей, які виховуються в сім'ях з дітьми, у тому числі тих, які мають задеклароване/зареєстроване місце проживання на території Донецької області та переместились (евакуювались) за її межі</t>
  </si>
  <si>
    <t>встановлення намогильного пам'ятника, ескіз якого затверджено Протоколом засідання робочої групи з визначення єдиного стилю та вигляду пам'ятників (нагробків), що відповідають загальної концепції Алеї Слави почесного поховання загиблих захисників і захисниць України  у м. Слов'янськ від 11.08.2025 року могилі Кошелєва Дмитра Володимировича</t>
  </si>
  <si>
    <t>Розпорядження голови Краматорської районної державної адміністрації, начальника Краматорської районної військової адміністрації</t>
  </si>
  <si>
    <t xml:space="preserve"> Розпорядження начальника Святогірської міської військової адміністрації від 19.01.2026 №16 </t>
  </si>
  <si>
    <t>дотація обласному бюджету на здійснення заходів з оборони та захисту території області та інших невідкладних дій у період воєнного стану</t>
  </si>
  <si>
    <t>Дотація бюджету Слов`янської міської територіальної громади встановлення намогильного пам'ятника, ескіз якого затверджено Протоколом засідання робочої групи з визначення єдиного стилю та вигляду пам'ятників (нагробків), що відповідають загальної концепції Алеї Слави почесного поховання загиблих захисників і захисниць України  у м. Слов'янськ від 11.08.2025 року могилі Кошелєва Дмитра Володимировича</t>
  </si>
  <si>
    <t>субвенція бюджету Слов`янської міської територіальної громади для погашення податкового боргу зі сплати земельного податку КП Слов'янської міської ради "Словміськводоканал"</t>
  </si>
  <si>
    <t>10.08.2026 № 425 )</t>
  </si>
  <si>
    <t>10.08.2026 № 425)</t>
  </si>
  <si>
    <t xml:space="preserve">                         10.08.2026 № 425 )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</si>
</sst>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0;#,&quot;-&quot;"/>
    <numFmt numFmtId="165" formatCode="0&quot;  &quot;"/>
    <numFmt numFmtId="166" formatCode="0000&quot;    &quot;"/>
    <numFmt numFmtId="167" formatCode="#,##0.00_ ;\-#,##0.00\ "/>
  </numFmts>
  <fonts count="26" x14ac:knownFonts="1">
    <font>
      <sz val="10"/>
      <color theme="1"/>
      <name val="Calibri"/>
      <family val="2"/>
      <charset val="204"/>
      <scheme val="minor"/>
    </font>
    <font>
      <sz val="11"/>
      <color theme="1"/>
      <name val="Calibri"/>
      <family val="2"/>
      <charset val="204"/>
      <scheme val="minor"/>
    </font>
    <font>
      <b/>
      <sz val="10"/>
      <color theme="1"/>
      <name val="Calibri"/>
      <family val="2"/>
      <charset val="204"/>
      <scheme val="minor"/>
    </font>
    <font>
      <sz val="10"/>
      <color theme="1"/>
      <name val="Calibri"/>
      <family val="2"/>
      <charset val="204"/>
      <scheme val="minor"/>
    </font>
    <font>
      <sz val="14"/>
      <color theme="1"/>
      <name val="Times New Roman"/>
      <family val="1"/>
      <charset val="204"/>
    </font>
    <font>
      <b/>
      <sz val="14"/>
      <color theme="1"/>
      <name val="Times New Roman"/>
      <family val="1"/>
      <charset val="204"/>
    </font>
    <font>
      <b/>
      <u/>
      <sz val="14"/>
      <color theme="1"/>
      <name val="Times New Roman"/>
      <family val="1"/>
      <charset val="204"/>
    </font>
    <font>
      <i/>
      <sz val="14"/>
      <color theme="1"/>
      <name val="Times New Roman"/>
      <family val="1"/>
      <charset val="204"/>
    </font>
    <font>
      <sz val="10"/>
      <name val="Helv"/>
      <charset val="204"/>
    </font>
    <font>
      <b/>
      <sz val="14"/>
      <name val="Times New Roman"/>
      <family val="1"/>
      <charset val="204"/>
    </font>
    <font>
      <b/>
      <i/>
      <sz val="14"/>
      <name val="Times New Roman"/>
      <family val="1"/>
      <charset val="204"/>
    </font>
    <font>
      <sz val="14"/>
      <name val="Times New Roman"/>
      <family val="1"/>
      <charset val="204"/>
    </font>
    <font>
      <i/>
      <sz val="12"/>
      <name val="Times New Roman"/>
      <family val="1"/>
      <charset val="204"/>
    </font>
    <font>
      <b/>
      <i/>
      <sz val="12"/>
      <name val="Times New Roman"/>
      <family val="1"/>
      <charset val="204"/>
    </font>
    <font>
      <i/>
      <sz val="14"/>
      <name val="Times New Roman"/>
      <family val="1"/>
      <charset val="204"/>
    </font>
    <font>
      <sz val="14"/>
      <color rgb="FF333333"/>
      <name val="Times New Roman"/>
      <family val="1"/>
      <charset val="204"/>
    </font>
    <font>
      <sz val="12"/>
      <name val="Times New Roman"/>
      <family val="1"/>
      <charset val="204"/>
    </font>
    <font>
      <u/>
      <sz val="14"/>
      <name val="Times New Roman"/>
      <family val="1"/>
      <charset val="204"/>
    </font>
    <font>
      <b/>
      <i/>
      <sz val="14"/>
      <color theme="1"/>
      <name val="Times New Roman"/>
      <family val="1"/>
      <charset val="204"/>
    </font>
    <font>
      <sz val="12"/>
      <color rgb="FF333333"/>
      <name val="Times New Roman"/>
      <family val="1"/>
      <charset val="204"/>
    </font>
    <font>
      <b/>
      <sz val="12"/>
      <color rgb="FF333333"/>
      <name val="Times New Roman"/>
      <family val="1"/>
      <charset val="204"/>
    </font>
    <font>
      <u/>
      <sz val="10"/>
      <color theme="10"/>
      <name val="Calibri"/>
      <family val="2"/>
      <charset val="204"/>
      <scheme val="minor"/>
    </font>
    <font>
      <i/>
      <sz val="10"/>
      <color theme="1"/>
      <name val="Calibri"/>
      <family val="2"/>
      <charset val="204"/>
      <scheme val="minor"/>
    </font>
    <font>
      <sz val="14"/>
      <color theme="1"/>
      <name val="Calibri"/>
      <family val="2"/>
      <charset val="204"/>
      <scheme val="minor"/>
    </font>
    <font>
      <b/>
      <sz val="14"/>
      <color rgb="FF333333"/>
      <name val="Times New Roman"/>
      <family val="1"/>
      <charset val="204"/>
    </font>
    <font>
      <b/>
      <sz val="14"/>
      <color theme="1"/>
      <name val="Calibri"/>
      <family val="2"/>
      <charset val="204"/>
      <scheme val="minor"/>
    </font>
  </fonts>
  <fills count="6">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1" fillId="0" borderId="0"/>
    <xf numFmtId="0" fontId="3" fillId="0" borderId="0"/>
    <xf numFmtId="0" fontId="8" fillId="0" borderId="0"/>
    <xf numFmtId="0" fontId="21" fillId="0" borderId="0" applyNumberFormat="0" applyFill="0" applyBorder="0" applyAlignment="0" applyProtection="0"/>
  </cellStyleXfs>
  <cellXfs count="259">
    <xf numFmtId="0" fontId="0" fillId="0" borderId="0" xfId="0"/>
    <xf numFmtId="4" fontId="0" fillId="0" borderId="1" xfId="0" applyNumberFormat="1" applyBorder="1" applyAlignment="1">
      <alignment vertical="center"/>
    </xf>
    <xf numFmtId="0" fontId="0" fillId="0" borderId="1" xfId="0" quotePrefix="1" applyBorder="1" applyAlignment="1">
      <alignment horizontal="center" vertical="center" wrapText="1"/>
    </xf>
    <xf numFmtId="4" fontId="0" fillId="0" borderId="1" xfId="0" quotePrefix="1" applyNumberFormat="1" applyBorder="1" applyAlignment="1">
      <alignment horizontal="center" vertical="center" wrapText="1"/>
    </xf>
    <xf numFmtId="4" fontId="0" fillId="0" borderId="1" xfId="0" quotePrefix="1" applyNumberFormat="1" applyBorder="1" applyAlignment="1">
      <alignment vertical="center" wrapText="1"/>
    </xf>
    <xf numFmtId="4" fontId="0" fillId="2" borderId="1" xfId="0" applyNumberFormat="1" applyFill="1" applyBorder="1" applyAlignment="1">
      <alignment vertical="center" wrapText="1"/>
    </xf>
    <xf numFmtId="4" fontId="0" fillId="0" borderId="1" xfId="0" applyNumberFormat="1" applyBorder="1" applyAlignment="1">
      <alignment vertical="center" wrapText="1"/>
    </xf>
    <xf numFmtId="0" fontId="4" fillId="0" borderId="0" xfId="0" applyFont="1"/>
    <xf numFmtId="0" fontId="4" fillId="0" borderId="0" xfId="0" applyFont="1" applyAlignment="1">
      <alignment horizontal="right"/>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wrapText="1"/>
    </xf>
    <xf numFmtId="4" fontId="5" fillId="2" borderId="1" xfId="0" applyNumberFormat="1" applyFont="1" applyFill="1" applyBorder="1" applyAlignment="1">
      <alignment vertical="center"/>
    </xf>
    <xf numFmtId="4" fontId="5" fillId="0" borderId="1" xfId="0" applyNumberFormat="1" applyFont="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4" fontId="4" fillId="2" borderId="1" xfId="0" applyNumberFormat="1" applyFont="1" applyFill="1" applyBorder="1" applyAlignment="1">
      <alignment vertical="center"/>
    </xf>
    <xf numFmtId="4" fontId="4" fillId="0" borderId="1" xfId="0" applyNumberFormat="1" applyFont="1" applyBorder="1" applyAlignment="1">
      <alignment vertical="center"/>
    </xf>
    <xf numFmtId="0" fontId="4" fillId="0" borderId="1" xfId="0" applyFont="1" applyBorder="1" applyAlignment="1">
      <alignment horizontal="righ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4" fontId="5" fillId="0" borderId="1" xfId="0" applyNumberFormat="1" applyFont="1" applyFill="1" applyBorder="1" applyAlignment="1">
      <alignment vertical="center"/>
    </xf>
    <xf numFmtId="4" fontId="4" fillId="0" borderId="1" xfId="0" applyNumberFormat="1" applyFont="1" applyFill="1" applyBorder="1" applyAlignment="1">
      <alignment vertical="center"/>
    </xf>
    <xf numFmtId="0" fontId="5" fillId="2" borderId="1" xfId="0" applyFont="1" applyFill="1" applyBorder="1" applyAlignment="1">
      <alignment horizontal="center" vertical="center"/>
    </xf>
    <xf numFmtId="0" fontId="5" fillId="0" borderId="0" xfId="0" applyFont="1"/>
    <xf numFmtId="0" fontId="5" fillId="0" borderId="0" xfId="0" applyFont="1" applyAlignment="1">
      <alignment horizontal="left"/>
    </xf>
    <xf numFmtId="0" fontId="4" fillId="0" borderId="2" xfId="0" quotePrefix="1" applyFont="1" applyBorder="1" applyAlignment="1">
      <alignment horizontal="center"/>
    </xf>
    <xf numFmtId="0" fontId="4" fillId="0" borderId="0" xfId="0" applyFont="1" applyAlignment="1">
      <alignment horizontal="center"/>
    </xf>
    <xf numFmtId="0" fontId="4" fillId="0" borderId="1" xfId="0" quotePrefix="1" applyFont="1" applyBorder="1" applyAlignment="1">
      <alignment horizontal="center" vertical="center" wrapText="1"/>
    </xf>
    <xf numFmtId="4" fontId="4" fillId="0" borderId="1" xfId="0" quotePrefix="1" applyNumberFormat="1" applyFont="1" applyBorder="1" applyAlignment="1">
      <alignment horizontal="center" vertical="center" wrapText="1"/>
    </xf>
    <xf numFmtId="4" fontId="4" fillId="0" borderId="1" xfId="0" quotePrefix="1" applyNumberFormat="1" applyFont="1" applyBorder="1" applyAlignment="1">
      <alignment vertical="center" wrapText="1"/>
    </xf>
    <xf numFmtId="4" fontId="4" fillId="2" borderId="1" xfId="0" applyNumberFormat="1" applyFont="1" applyFill="1" applyBorder="1" applyAlignment="1">
      <alignment vertical="center" wrapText="1"/>
    </xf>
    <xf numFmtId="4" fontId="4" fillId="0" borderId="1" xfId="0" applyNumberFormat="1" applyFont="1" applyBorder="1" applyAlignment="1">
      <alignment vertical="center" wrapText="1"/>
    </xf>
    <xf numFmtId="0" fontId="5" fillId="0" borderId="1" xfId="0" quotePrefix="1" applyFont="1" applyBorder="1" applyAlignment="1">
      <alignment horizontal="center" vertical="center" wrapText="1"/>
    </xf>
    <xf numFmtId="0" fontId="5" fillId="0" borderId="1" xfId="0" applyFont="1" applyBorder="1" applyAlignment="1">
      <alignment horizontal="center" vertical="center" wrapText="1"/>
    </xf>
    <xf numFmtId="4" fontId="5" fillId="0" borderId="1" xfId="0" applyNumberFormat="1" applyFont="1" applyBorder="1" applyAlignment="1">
      <alignment horizontal="center" vertical="center" wrapText="1"/>
    </xf>
    <xf numFmtId="4" fontId="5" fillId="0" borderId="1" xfId="0" quotePrefix="1" applyNumberFormat="1" applyFont="1" applyBorder="1" applyAlignment="1">
      <alignment vertical="center" wrapText="1"/>
    </xf>
    <xf numFmtId="4" fontId="5" fillId="2" borderId="1" xfId="0" applyNumberFormat="1" applyFont="1" applyFill="1" applyBorder="1" applyAlignment="1">
      <alignment vertical="center" wrapText="1"/>
    </xf>
    <xf numFmtId="4" fontId="5" fillId="0" borderId="1" xfId="0" applyNumberFormat="1" applyFont="1" applyBorder="1" applyAlignment="1">
      <alignment vertical="center" wrapText="1"/>
    </xf>
    <xf numFmtId="0" fontId="5" fillId="2" borderId="1" xfId="0" applyFont="1" applyFill="1" applyBorder="1" applyAlignment="1">
      <alignment horizontal="center" vertical="center" wrapText="1"/>
    </xf>
    <xf numFmtId="0" fontId="5" fillId="2" borderId="1" xfId="0" quotePrefix="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4" fontId="5" fillId="2" borderId="1" xfId="0" quotePrefix="1" applyNumberFormat="1" applyFont="1" applyFill="1" applyBorder="1" applyAlignment="1">
      <alignment vertical="center" wrapText="1"/>
    </xf>
    <xf numFmtId="0" fontId="4" fillId="0" borderId="0" xfId="0" applyFont="1" applyAlignment="1"/>
    <xf numFmtId="0" fontId="4" fillId="0" borderId="0" xfId="0" applyFont="1" applyAlignment="1">
      <alignment horizontal="left"/>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7" fillId="0" borderId="6" xfId="0" applyFont="1" applyBorder="1" applyAlignment="1">
      <alignment horizontal="center" vertical="center"/>
    </xf>
    <xf numFmtId="164" fontId="7" fillId="0" borderId="7" xfId="0" applyNumberFormat="1" applyFont="1" applyBorder="1" applyAlignment="1">
      <alignment horizontal="center" vertical="center"/>
    </xf>
    <xf numFmtId="0" fontId="7" fillId="0" borderId="0" xfId="0" applyFont="1"/>
    <xf numFmtId="0" fontId="5" fillId="3" borderId="3" xfId="0" applyFont="1" applyFill="1" applyBorder="1" applyAlignment="1">
      <alignment horizontal="center"/>
    </xf>
    <xf numFmtId="0" fontId="5" fillId="3" borderId="3" xfId="0" applyFont="1" applyFill="1" applyBorder="1" applyAlignment="1">
      <alignment horizontal="left" vertical="center"/>
    </xf>
    <xf numFmtId="0" fontId="5" fillId="3" borderId="5" xfId="0" applyFont="1" applyFill="1" applyBorder="1" applyAlignment="1">
      <alignment horizontal="centerContinuous" vertical="center"/>
    </xf>
    <xf numFmtId="164" fontId="5" fillId="3" borderId="5" xfId="0" applyNumberFormat="1" applyFont="1" applyFill="1" applyBorder="1" applyAlignment="1">
      <alignment horizontal="center"/>
    </xf>
    <xf numFmtId="0" fontId="4" fillId="0" borderId="1" xfId="0" applyFont="1" applyBorder="1" applyAlignment="1">
      <alignment horizontal="center" vertical="top" wrapText="1"/>
    </xf>
    <xf numFmtId="0" fontId="4" fillId="0" borderId="8" xfId="0" applyFont="1" applyBorder="1" applyAlignment="1">
      <alignment horizontal="center" vertical="top" wrapText="1"/>
    </xf>
    <xf numFmtId="0" fontId="5" fillId="0" borderId="1" xfId="0" applyFont="1" applyBorder="1" applyAlignment="1">
      <alignment horizontal="centerContinuous" vertical="center"/>
    </xf>
    <xf numFmtId="0" fontId="5" fillId="0" borderId="1" xfId="0" applyFont="1" applyBorder="1" applyAlignment="1">
      <alignment horizontal="centerContinuous" vertical="center" wrapText="1"/>
    </xf>
    <xf numFmtId="164" fontId="5" fillId="2" borderId="1" xfId="0" applyNumberFormat="1" applyFont="1" applyFill="1" applyBorder="1" applyAlignment="1">
      <alignment horizontal="center" vertical="center"/>
    </xf>
    <xf numFmtId="0" fontId="4" fillId="0" borderId="1" xfId="0" applyFont="1" applyBorder="1" applyAlignment="1">
      <alignment horizontal="centerContinuous" vertical="center"/>
    </xf>
    <xf numFmtId="0" fontId="4" fillId="0" borderId="1" xfId="0" applyFont="1" applyBorder="1" applyAlignment="1">
      <alignment horizontal="centerContinuous" vertical="center" wrapText="1"/>
    </xf>
    <xf numFmtId="164" fontId="4"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5" fillId="3" borderId="1" xfId="0" applyFont="1" applyFill="1" applyBorder="1" applyAlignment="1">
      <alignment horizontal="center" vertical="center"/>
    </xf>
    <xf numFmtId="164" fontId="5" fillId="3" borderId="1" xfId="0" applyNumberFormat="1" applyFont="1" applyFill="1" applyBorder="1" applyAlignment="1">
      <alignment horizontal="center"/>
    </xf>
    <xf numFmtId="0" fontId="4" fillId="0" borderId="0" xfId="0" applyFont="1" applyFill="1"/>
    <xf numFmtId="0" fontId="6" fillId="0" borderId="0" xfId="0" quotePrefix="1" applyFont="1" applyFill="1" applyAlignment="1">
      <alignment horizontal="center"/>
    </xf>
    <xf numFmtId="0" fontId="4" fillId="0" borderId="0" xfId="0" applyFont="1" applyFill="1" applyAlignment="1">
      <alignment horizontal="right"/>
    </xf>
    <xf numFmtId="0" fontId="5" fillId="0" borderId="1" xfId="0" applyFont="1" applyFill="1" applyBorder="1" applyAlignment="1">
      <alignment vertical="center" wrapText="1"/>
    </xf>
    <xf numFmtId="0" fontId="5" fillId="0" borderId="1" xfId="0" quotePrefix="1" applyFont="1" applyFill="1" applyBorder="1" applyAlignment="1">
      <alignment vertical="center" wrapText="1"/>
    </xf>
    <xf numFmtId="164" fontId="5" fillId="0" borderId="1" xfId="0" applyNumberFormat="1" applyFont="1" applyFill="1" applyBorder="1" applyAlignment="1">
      <alignment horizontal="right" vertical="center"/>
    </xf>
    <xf numFmtId="0" fontId="4" fillId="0" borderId="1" xfId="0" applyFont="1" applyFill="1" applyBorder="1" applyAlignment="1">
      <alignment vertical="center" wrapText="1"/>
    </xf>
    <xf numFmtId="0" fontId="4" fillId="0" borderId="1" xfId="0" quotePrefix="1" applyFont="1" applyFill="1" applyBorder="1" applyAlignment="1">
      <alignment vertical="center" wrapText="1"/>
    </xf>
    <xf numFmtId="164" fontId="4" fillId="0" borderId="1" xfId="0" applyNumberFormat="1" applyFont="1" applyFill="1" applyBorder="1" applyAlignment="1">
      <alignment horizontal="right"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0" xfId="0" applyFont="1" applyFill="1" applyAlignment="1">
      <alignment horizontal="left"/>
    </xf>
    <xf numFmtId="0" fontId="4" fillId="0" borderId="1" xfId="0" applyFont="1" applyFill="1" applyBorder="1" applyAlignment="1">
      <alignment horizontal="center" vertical="center"/>
    </xf>
    <xf numFmtId="0" fontId="4" fillId="0" borderId="0" xfId="0" applyFont="1" applyAlignment="1">
      <alignment horizont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0" xfId="0" quotePrefix="1" applyFont="1" applyAlignment="1">
      <alignment horizontal="center"/>
    </xf>
    <xf numFmtId="0" fontId="0" fillId="4" borderId="0" xfId="0" applyFill="1"/>
    <xf numFmtId="0" fontId="4" fillId="0" borderId="1" xfId="0" quotePrefix="1" applyFont="1" applyFill="1" applyBorder="1" applyAlignment="1">
      <alignment horizontal="center" vertical="center" wrapText="1"/>
    </xf>
    <xf numFmtId="4" fontId="4" fillId="0" borderId="1" xfId="0" quotePrefix="1" applyNumberFormat="1" applyFont="1" applyFill="1" applyBorder="1" applyAlignment="1">
      <alignment horizontal="center" vertical="center" wrapText="1"/>
    </xf>
    <xf numFmtId="4" fontId="4" fillId="0" borderId="1" xfId="0" quotePrefix="1" applyNumberFormat="1" applyFont="1" applyFill="1" applyBorder="1" applyAlignment="1">
      <alignment vertical="center" wrapText="1"/>
    </xf>
    <xf numFmtId="4" fontId="4" fillId="0" borderId="1" xfId="0" applyNumberFormat="1" applyFont="1" applyFill="1" applyBorder="1" applyAlignment="1">
      <alignment vertical="center" wrapText="1"/>
    </xf>
    <xf numFmtId="0" fontId="0" fillId="0" borderId="0" xfId="0" applyFill="1"/>
    <xf numFmtId="49" fontId="9" fillId="0" borderId="1" xfId="3" applyNumberFormat="1" applyFont="1" applyFill="1" applyBorder="1" applyAlignment="1">
      <alignment horizontal="center" wrapText="1"/>
    </xf>
    <xf numFmtId="0" fontId="9" fillId="0" borderId="1" xfId="3" applyFont="1" applyFill="1" applyBorder="1" applyAlignment="1">
      <alignment horizontal="center" wrapText="1"/>
    </xf>
    <xf numFmtId="0" fontId="9" fillId="0" borderId="1" xfId="3" applyFont="1" applyFill="1" applyBorder="1" applyAlignment="1">
      <alignment horizontal="left" wrapText="1"/>
    </xf>
    <xf numFmtId="4" fontId="9" fillId="0" borderId="1" xfId="3" applyNumberFormat="1" applyFont="1" applyFill="1" applyBorder="1" applyAlignment="1">
      <alignment horizontal="center" vertical="center" wrapText="1"/>
    </xf>
    <xf numFmtId="0" fontId="9" fillId="0" borderId="0" xfId="3" applyFont="1" applyFill="1" applyAlignment="1">
      <alignment horizontal="center"/>
    </xf>
    <xf numFmtId="49" fontId="10" fillId="0" borderId="1" xfId="3" applyNumberFormat="1" applyFont="1" applyFill="1" applyBorder="1" applyAlignment="1">
      <alignment horizontal="center" wrapText="1"/>
    </xf>
    <xf numFmtId="0" fontId="10" fillId="0" borderId="1" xfId="3" applyFont="1" applyFill="1" applyBorder="1" applyAlignment="1">
      <alignment horizontal="center" wrapText="1"/>
    </xf>
    <xf numFmtId="0" fontId="10" fillId="0" borderId="1" xfId="3" applyFont="1" applyFill="1" applyBorder="1" applyAlignment="1">
      <alignment horizontal="left" wrapText="1"/>
    </xf>
    <xf numFmtId="4" fontId="10" fillId="0" borderId="1" xfId="3" applyNumberFormat="1" applyFont="1" applyFill="1" applyBorder="1" applyAlignment="1">
      <alignment horizontal="center" vertical="center" wrapText="1"/>
    </xf>
    <xf numFmtId="0" fontId="10" fillId="0" borderId="0" xfId="3" applyFont="1" applyFill="1" applyAlignment="1">
      <alignment horizontal="center"/>
    </xf>
    <xf numFmtId="49" fontId="11" fillId="0" borderId="1" xfId="3" applyNumberFormat="1" applyFont="1" applyFill="1" applyBorder="1" applyAlignment="1">
      <alignment horizontal="center" wrapText="1"/>
    </xf>
    <xf numFmtId="0" fontId="11" fillId="0" borderId="1" xfId="3" applyFont="1" applyFill="1" applyBorder="1" applyAlignment="1">
      <alignment horizontal="center" wrapText="1"/>
    </xf>
    <xf numFmtId="0" fontId="11" fillId="0" borderId="1" xfId="3" applyFont="1" applyFill="1" applyBorder="1" applyAlignment="1">
      <alignment horizontal="left" wrapText="1"/>
    </xf>
    <xf numFmtId="4" fontId="11" fillId="0" borderId="1" xfId="3" applyNumberFormat="1" applyFont="1" applyFill="1" applyBorder="1" applyAlignment="1">
      <alignment horizontal="center" vertical="center" wrapText="1"/>
    </xf>
    <xf numFmtId="0" fontId="11" fillId="0" borderId="0" xfId="3" applyFont="1" applyFill="1" applyAlignment="1">
      <alignment horizontal="center"/>
    </xf>
    <xf numFmtId="49" fontId="12" fillId="0" borderId="1" xfId="3" applyNumberFormat="1" applyFont="1" applyFill="1" applyBorder="1" applyAlignment="1">
      <alignment horizontal="center" wrapText="1"/>
    </xf>
    <xf numFmtId="0" fontId="12" fillId="0" borderId="1" xfId="3" applyFont="1" applyFill="1" applyBorder="1" applyAlignment="1">
      <alignment horizontal="center" wrapText="1"/>
    </xf>
    <xf numFmtId="0" fontId="12" fillId="0" borderId="1" xfId="3" applyFont="1" applyFill="1" applyBorder="1" applyAlignment="1">
      <alignment horizontal="left" wrapText="1"/>
    </xf>
    <xf numFmtId="4" fontId="12" fillId="0" borderId="1" xfId="3" applyNumberFormat="1" applyFont="1" applyFill="1" applyBorder="1" applyAlignment="1">
      <alignment horizontal="center" vertical="center" wrapText="1"/>
    </xf>
    <xf numFmtId="0" fontId="12" fillId="0" borderId="0" xfId="3" applyFont="1" applyFill="1" applyAlignment="1">
      <alignment horizontal="center"/>
    </xf>
    <xf numFmtId="0" fontId="13" fillId="0" borderId="0" xfId="3" applyFont="1" applyFill="1" applyAlignment="1">
      <alignment horizontal="center"/>
    </xf>
    <xf numFmtId="0" fontId="11" fillId="0" borderId="4" xfId="3" applyFont="1" applyFill="1" applyBorder="1" applyAlignment="1">
      <alignment horizontal="center" wrapText="1"/>
    </xf>
    <xf numFmtId="4" fontId="14" fillId="0" borderId="1" xfId="3"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centerContinuous" vertical="center" wrapText="1"/>
    </xf>
    <xf numFmtId="0" fontId="5" fillId="0" borderId="5" xfId="0" applyFont="1" applyFill="1" applyBorder="1" applyAlignment="1">
      <alignment horizontal="centerContinuous" vertical="center"/>
    </xf>
    <xf numFmtId="164" fontId="5" fillId="0" borderId="5"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centerContinuous" vertical="center" wrapText="1"/>
    </xf>
    <xf numFmtId="0" fontId="4" fillId="0" borderId="5" xfId="0" applyFont="1" applyFill="1" applyBorder="1" applyAlignment="1">
      <alignment horizontal="centerContinuous" vertical="center"/>
    </xf>
    <xf numFmtId="164" fontId="4" fillId="0" borderId="5" xfId="0" applyNumberFormat="1" applyFont="1" applyFill="1" applyBorder="1" applyAlignment="1">
      <alignment horizontal="center" vertical="center"/>
    </xf>
    <xf numFmtId="0" fontId="5" fillId="0" borderId="5" xfId="0" applyFont="1" applyFill="1" applyBorder="1" applyAlignment="1">
      <alignment horizontal="centerContinuous" vertical="center" wrapText="1"/>
    </xf>
    <xf numFmtId="0" fontId="4" fillId="0" borderId="6" xfId="0" applyFont="1" applyFill="1" applyBorder="1" applyAlignment="1">
      <alignment horizontal="centerContinuous" vertical="center" wrapText="1"/>
    </xf>
    <xf numFmtId="0" fontId="4" fillId="0" borderId="7" xfId="0" applyFont="1" applyFill="1" applyBorder="1" applyAlignment="1">
      <alignment horizontal="centerContinuous" vertical="center"/>
    </xf>
    <xf numFmtId="164" fontId="4" fillId="0" borderId="7" xfId="0" applyNumberFormat="1" applyFont="1" applyFill="1" applyBorder="1" applyAlignment="1">
      <alignment horizontal="center" vertical="center"/>
    </xf>
    <xf numFmtId="0" fontId="7" fillId="0" borderId="6" xfId="0" applyFont="1" applyFill="1" applyBorder="1" applyAlignment="1">
      <alignment horizontal="center" vertical="center"/>
    </xf>
    <xf numFmtId="164" fontId="7" fillId="0" borderId="7"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1" xfId="0" quotePrefix="1" applyFont="1" applyFill="1" applyBorder="1" applyAlignment="1">
      <alignment vertical="center" wrapText="1"/>
    </xf>
    <xf numFmtId="164" fontId="2" fillId="0" borderId="1" xfId="0" applyNumberFormat="1" applyFont="1" applyFill="1" applyBorder="1" applyAlignment="1">
      <alignment horizontal="right" vertical="center"/>
    </xf>
    <xf numFmtId="0" fontId="0" fillId="0" borderId="1" xfId="0" applyFill="1" applyBorder="1" applyAlignment="1">
      <alignment vertical="center" wrapText="1"/>
    </xf>
    <xf numFmtId="0" fontId="0" fillId="0" borderId="1" xfId="0" quotePrefix="1" applyFill="1" applyBorder="1" applyAlignment="1">
      <alignment vertical="center" wrapText="1"/>
    </xf>
    <xf numFmtId="164" fontId="0" fillId="0" borderId="1" xfId="0" applyNumberFormat="1" applyFill="1" applyBorder="1" applyAlignment="1">
      <alignment horizontal="right" vertical="center"/>
    </xf>
    <xf numFmtId="49" fontId="4" fillId="0" borderId="3" xfId="0" applyNumberFormat="1" applyFont="1" applyFill="1" applyBorder="1" applyAlignment="1">
      <alignment horizontal="center" vertical="center"/>
    </xf>
    <xf numFmtId="0" fontId="11" fillId="0" borderId="0" xfId="0" applyFont="1" applyAlignment="1">
      <alignment wrapText="1"/>
    </xf>
    <xf numFmtId="49" fontId="4" fillId="0" borderId="1" xfId="0" quotePrefix="1" applyNumberFormat="1" applyFont="1" applyBorder="1" applyAlignment="1">
      <alignment horizontal="center" vertical="center" wrapText="1"/>
    </xf>
    <xf numFmtId="1" fontId="11" fillId="0" borderId="1" xfId="0" applyNumberFormat="1" applyFont="1" applyFill="1" applyBorder="1" applyAlignment="1">
      <alignment horizontal="center" vertical="center" wrapText="1"/>
    </xf>
    <xf numFmtId="0" fontId="11" fillId="0" borderId="1" xfId="0" applyFont="1" applyFill="1" applyBorder="1" applyAlignment="1">
      <alignment wrapText="1"/>
    </xf>
    <xf numFmtId="0" fontId="4" fillId="5" borderId="0" xfId="0" applyFont="1" applyFill="1"/>
    <xf numFmtId="4" fontId="4" fillId="5" borderId="0" xfId="0" applyNumberFormat="1" applyFont="1" applyFill="1"/>
    <xf numFmtId="49" fontId="5" fillId="0" borderId="3" xfId="0" applyNumberFormat="1" applyFont="1" applyFill="1" applyBorder="1" applyAlignment="1">
      <alignment horizontal="center" vertical="center"/>
    </xf>
    <xf numFmtId="0" fontId="5" fillId="0" borderId="6" xfId="0" applyFont="1" applyFill="1" applyBorder="1" applyAlignment="1">
      <alignment horizontal="centerContinuous" vertical="center" wrapText="1"/>
    </xf>
    <xf numFmtId="0" fontId="5" fillId="0" borderId="7" xfId="0" applyFont="1" applyFill="1" applyBorder="1" applyAlignment="1">
      <alignment horizontal="centerContinuous" vertical="center"/>
    </xf>
    <xf numFmtId="0" fontId="5" fillId="0" borderId="1" xfId="0" applyFont="1" applyFill="1" applyBorder="1" applyAlignment="1">
      <alignment horizontal="left" vertical="center" wrapText="1"/>
    </xf>
    <xf numFmtId="165" fontId="16" fillId="0" borderId="1" xfId="0" applyNumberFormat="1" applyFont="1" applyFill="1" applyBorder="1" applyAlignment="1">
      <alignment horizontal="left" vertical="center"/>
    </xf>
    <xf numFmtId="166" fontId="11" fillId="0" borderId="1" xfId="0" applyNumberFormat="1" applyFont="1" applyFill="1" applyBorder="1" applyAlignment="1">
      <alignment horizontal="left" vertical="center" wrapText="1"/>
    </xf>
    <xf numFmtId="4" fontId="4" fillId="0" borderId="0" xfId="0" applyNumberFormat="1" applyFont="1"/>
    <xf numFmtId="49" fontId="4" fillId="0" borderId="1" xfId="0" applyNumberFormat="1" applyFont="1" applyFill="1" applyBorder="1" applyAlignment="1">
      <alignment vertical="center" wrapText="1"/>
    </xf>
    <xf numFmtId="1" fontId="11" fillId="0" borderId="1" xfId="0" applyNumberFormat="1" applyFont="1" applyFill="1" applyBorder="1" applyAlignment="1">
      <alignment horizontal="left" vertical="center" wrapText="1"/>
    </xf>
    <xf numFmtId="164" fontId="4" fillId="0" borderId="0" xfId="0" applyNumberFormat="1" applyFont="1" applyFill="1"/>
    <xf numFmtId="167" fontId="7" fillId="0" borderId="0" xfId="0" applyNumberFormat="1" applyFont="1"/>
    <xf numFmtId="49" fontId="4" fillId="0" borderId="1" xfId="0" quotePrefix="1" applyNumberFormat="1" applyFont="1" applyFill="1" applyBorder="1" applyAlignment="1">
      <alignment horizontal="center" vertical="center" wrapText="1"/>
    </xf>
    <xf numFmtId="0" fontId="19" fillId="0" borderId="0" xfId="0" applyFont="1" applyAlignment="1">
      <alignment wrapText="1"/>
    </xf>
    <xf numFmtId="0" fontId="20" fillId="0" borderId="1" xfId="0" applyFont="1" applyBorder="1" applyAlignment="1">
      <alignment wrapText="1"/>
    </xf>
    <xf numFmtId="0" fontId="7" fillId="0" borderId="1" xfId="0" applyFont="1" applyBorder="1" applyAlignment="1">
      <alignment horizontal="center" vertical="center"/>
    </xf>
    <xf numFmtId="164" fontId="7" fillId="0" borderId="1" xfId="0" applyNumberFormat="1" applyFont="1" applyBorder="1" applyAlignment="1">
      <alignment horizontal="center" vertical="center"/>
    </xf>
    <xf numFmtId="0" fontId="7" fillId="0" borderId="0" xfId="0" applyFont="1" applyAlignment="1"/>
    <xf numFmtId="164" fontId="5" fillId="0" borderId="1" xfId="0" applyNumberFormat="1" applyFont="1" applyBorder="1" applyAlignment="1">
      <alignment horizontal="center" vertical="center"/>
    </xf>
    <xf numFmtId="0" fontId="11" fillId="0" borderId="9" xfId="0" applyFont="1" applyBorder="1" applyAlignment="1">
      <alignment wrapText="1"/>
    </xf>
    <xf numFmtId="4" fontId="12" fillId="0" borderId="8" xfId="3" applyNumberFormat="1" applyFont="1" applyFill="1" applyBorder="1" applyAlignment="1">
      <alignment horizontal="center" vertical="center" wrapText="1"/>
    </xf>
    <xf numFmtId="0" fontId="11" fillId="0" borderId="1" xfId="4" applyFont="1" applyBorder="1" applyAlignment="1">
      <alignment wrapText="1"/>
    </xf>
    <xf numFmtId="164" fontId="5" fillId="0" borderId="7" xfId="0" applyNumberFormat="1" applyFont="1" applyFill="1" applyBorder="1" applyAlignment="1">
      <alignment horizontal="center" vertical="center"/>
    </xf>
    <xf numFmtId="4" fontId="4" fillId="0" borderId="0" xfId="0" applyNumberFormat="1" applyFont="1" applyFill="1" applyBorder="1" applyAlignment="1">
      <alignment vertical="center"/>
    </xf>
    <xf numFmtId="164" fontId="7" fillId="0" borderId="5" xfId="0" applyNumberFormat="1" applyFont="1" applyBorder="1" applyAlignment="1">
      <alignment horizontal="center" vertical="center"/>
    </xf>
    <xf numFmtId="49" fontId="7" fillId="0" borderId="1" xfId="0" applyNumberFormat="1" applyFont="1" applyFill="1" applyBorder="1" applyAlignment="1">
      <alignment horizontal="center" vertical="center"/>
    </xf>
    <xf numFmtId="0" fontId="7" fillId="0" borderId="8" xfId="0" applyFont="1" applyBorder="1" applyAlignment="1">
      <alignment horizontal="centerContinuous" vertical="center"/>
    </xf>
    <xf numFmtId="0" fontId="7" fillId="0" borderId="8" xfId="0" applyFont="1" applyBorder="1" applyAlignment="1">
      <alignment horizontal="centerContinuous" vertical="center" wrapText="1"/>
    </xf>
    <xf numFmtId="164" fontId="7" fillId="0" borderId="8" xfId="0" applyNumberFormat="1" applyFont="1" applyBorder="1" applyAlignment="1">
      <alignment horizontal="center" vertical="center"/>
    </xf>
    <xf numFmtId="0" fontId="7" fillId="0" borderId="1" xfId="0" applyFont="1" applyBorder="1" applyAlignment="1">
      <alignment horizontal="left" vertical="center" wrapText="1"/>
    </xf>
    <xf numFmtId="49" fontId="14" fillId="0" borderId="1" xfId="3" applyNumberFormat="1" applyFont="1" applyFill="1" applyBorder="1" applyAlignment="1">
      <alignment horizontal="center" wrapText="1"/>
    </xf>
    <xf numFmtId="0" fontId="14" fillId="0" borderId="1" xfId="3" applyFont="1" applyFill="1" applyBorder="1" applyAlignment="1">
      <alignment horizontal="center" wrapText="1"/>
    </xf>
    <xf numFmtId="0" fontId="14" fillId="0" borderId="1" xfId="3" applyFont="1" applyFill="1" applyBorder="1" applyAlignment="1">
      <alignment horizontal="left" wrapText="1"/>
    </xf>
    <xf numFmtId="167" fontId="4" fillId="0" borderId="0" xfId="0" applyNumberFormat="1" applyFont="1"/>
    <xf numFmtId="167" fontId="5" fillId="0" borderId="0" xfId="0" applyNumberFormat="1" applyFont="1" applyAlignment="1">
      <alignment horizontal="left"/>
    </xf>
    <xf numFmtId="0" fontId="4" fillId="0" borderId="0" xfId="0" applyFont="1" applyAlignment="1">
      <alignment wrapText="1"/>
    </xf>
    <xf numFmtId="0" fontId="4" fillId="0" borderId="1" xfId="0" applyFont="1" applyBorder="1" applyAlignment="1">
      <alignment wrapText="1"/>
    </xf>
    <xf numFmtId="0" fontId="11" fillId="0" borderId="1" xfId="0" applyFont="1" applyBorder="1" applyAlignment="1">
      <alignment wrapText="1"/>
    </xf>
    <xf numFmtId="0" fontId="7" fillId="0" borderId="8" xfId="0" applyFont="1" applyBorder="1" applyAlignment="1">
      <alignment horizontal="left" vertical="center" wrapText="1"/>
    </xf>
    <xf numFmtId="0" fontId="18" fillId="0" borderId="8" xfId="0" applyFont="1" applyBorder="1" applyAlignment="1">
      <alignment horizontal="centerContinuous" vertical="center"/>
    </xf>
    <xf numFmtId="0" fontId="18" fillId="0" borderId="8" xfId="0" applyFont="1" applyBorder="1" applyAlignment="1">
      <alignment horizontal="centerContinuous" vertical="center" wrapText="1"/>
    </xf>
    <xf numFmtId="164" fontId="18" fillId="0" borderId="8" xfId="0" applyNumberFormat="1" applyFont="1" applyBorder="1" applyAlignment="1">
      <alignment horizontal="center" vertical="center"/>
    </xf>
    <xf numFmtId="0" fontId="23" fillId="0" borderId="1" xfId="0" quotePrefix="1" applyFont="1" applyBorder="1" applyAlignment="1">
      <alignment horizontal="center" vertical="center" wrapText="1"/>
    </xf>
    <xf numFmtId="4" fontId="23" fillId="0" borderId="1" xfId="0" quotePrefix="1" applyNumberFormat="1" applyFont="1" applyBorder="1" applyAlignment="1">
      <alignment horizontal="center" vertical="center" wrapText="1"/>
    </xf>
    <xf numFmtId="4" fontId="23" fillId="0" borderId="1" xfId="0" quotePrefix="1" applyNumberFormat="1" applyFont="1" applyBorder="1" applyAlignment="1">
      <alignment vertical="center" wrapText="1"/>
    </xf>
    <xf numFmtId="4" fontId="23" fillId="2" borderId="1" xfId="0" applyNumberFormat="1" applyFont="1" applyFill="1" applyBorder="1" applyAlignment="1">
      <alignment vertical="center" wrapText="1"/>
    </xf>
    <xf numFmtId="4" fontId="23" fillId="0" borderId="1" xfId="0" applyNumberFormat="1" applyFont="1" applyBorder="1" applyAlignment="1">
      <alignment vertical="center" wrapText="1"/>
    </xf>
    <xf numFmtId="0" fontId="23" fillId="0" borderId="0" xfId="0" applyFont="1"/>
    <xf numFmtId="164" fontId="23" fillId="0" borderId="1" xfId="0" applyNumberFormat="1" applyFont="1" applyFill="1" applyBorder="1" applyAlignment="1">
      <alignment horizontal="right" vertical="center"/>
    </xf>
    <xf numFmtId="0" fontId="23" fillId="0" borderId="0" xfId="0" applyFont="1" applyFill="1"/>
    <xf numFmtId="167" fontId="4" fillId="0" borderId="0" xfId="0" applyNumberFormat="1" applyFont="1" applyFill="1"/>
    <xf numFmtId="0" fontId="11" fillId="0" borderId="1" xfId="3" applyFont="1" applyFill="1" applyBorder="1" applyAlignment="1">
      <alignment horizontal="left" vertical="center" wrapText="1"/>
    </xf>
    <xf numFmtId="0" fontId="15" fillId="0" borderId="0" xfId="0" applyFont="1" applyFill="1" applyAlignment="1">
      <alignment vertical="center" wrapText="1"/>
    </xf>
    <xf numFmtId="0" fontId="15" fillId="0" borderId="1" xfId="0" applyFont="1" applyBorder="1" applyAlignment="1">
      <alignment wrapText="1"/>
    </xf>
    <xf numFmtId="0" fontId="15" fillId="0" borderId="0" xfId="0" applyFont="1" applyAlignment="1">
      <alignment vertical="center" wrapText="1"/>
    </xf>
    <xf numFmtId="49" fontId="7" fillId="0" borderId="3" xfId="0" applyNumberFormat="1" applyFont="1" applyFill="1" applyBorder="1" applyAlignment="1">
      <alignment horizontal="center" vertical="center"/>
    </xf>
    <xf numFmtId="164" fontId="4" fillId="0" borderId="5" xfId="0" applyNumberFormat="1" applyFont="1" applyBorder="1" applyAlignment="1">
      <alignment horizontal="center" vertical="center"/>
    </xf>
    <xf numFmtId="164" fontId="5" fillId="0" borderId="5" xfId="0" applyNumberFormat="1" applyFont="1" applyBorder="1" applyAlignment="1">
      <alignment horizontal="center" vertical="center"/>
    </xf>
    <xf numFmtId="0" fontId="5" fillId="0" borderId="1" xfId="0" applyFont="1" applyBorder="1" applyAlignment="1">
      <alignment horizontal="center"/>
    </xf>
    <xf numFmtId="0" fontId="4" fillId="0" borderId="0" xfId="0" quotePrefix="1" applyFont="1" applyFill="1" applyBorder="1" applyAlignment="1">
      <alignment vertical="center" wrapText="1"/>
    </xf>
    <xf numFmtId="0" fontId="4" fillId="0" borderId="1" xfId="0" quotePrefix="1" applyFont="1" applyBorder="1" applyAlignment="1">
      <alignment horizontal="left" vertical="center" wrapText="1"/>
    </xf>
    <xf numFmtId="49" fontId="4" fillId="0" borderId="1" xfId="0" quotePrefix="1" applyNumberFormat="1" applyFont="1" applyBorder="1" applyAlignment="1">
      <alignment horizontal="left" vertical="center" wrapText="1"/>
    </xf>
    <xf numFmtId="4" fontId="4" fillId="0" borderId="1" xfId="0" quotePrefix="1" applyNumberFormat="1" applyFont="1" applyBorder="1" applyAlignment="1">
      <alignment horizontal="left" vertical="center" wrapText="1"/>
    </xf>
    <xf numFmtId="0" fontId="5" fillId="5" borderId="1" xfId="0" quotePrefix="1" applyFont="1" applyFill="1" applyBorder="1" applyAlignment="1">
      <alignment horizontal="center" vertical="center" wrapText="1"/>
    </xf>
    <xf numFmtId="0" fontId="5" fillId="5" borderId="1" xfId="0" applyFont="1" applyFill="1" applyBorder="1" applyAlignment="1">
      <alignment horizontal="center" vertical="center" wrapText="1"/>
    </xf>
    <xf numFmtId="4" fontId="5" fillId="5" borderId="1" xfId="0" applyNumberFormat="1" applyFont="1" applyFill="1" applyBorder="1" applyAlignment="1">
      <alignment horizontal="center" vertical="center" wrapText="1"/>
    </xf>
    <xf numFmtId="4" fontId="5" fillId="5" borderId="1" xfId="0" quotePrefix="1" applyNumberFormat="1" applyFont="1" applyFill="1" applyBorder="1" applyAlignment="1">
      <alignment vertical="center" wrapText="1"/>
    </xf>
    <xf numFmtId="4" fontId="5" fillId="5" borderId="1" xfId="0" applyNumberFormat="1" applyFont="1" applyFill="1" applyBorder="1" applyAlignment="1">
      <alignment vertical="center" wrapText="1"/>
    </xf>
    <xf numFmtId="49" fontId="4"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7" fillId="0" borderId="8" xfId="0" applyFont="1" applyBorder="1" applyAlignment="1">
      <alignment horizontal="left" vertical="top" wrapText="1"/>
    </xf>
    <xf numFmtId="0" fontId="11" fillId="0" borderId="1" xfId="0" applyFont="1" applyBorder="1" applyAlignment="1">
      <alignment horizontal="left" vertical="center" wrapText="1"/>
    </xf>
    <xf numFmtId="0" fontId="5" fillId="0" borderId="0" xfId="0" applyFont="1" applyAlignment="1">
      <alignment horizontal="center"/>
    </xf>
    <xf numFmtId="0" fontId="4" fillId="0" borderId="0" xfId="0" applyFont="1" applyAlignment="1">
      <alignment horizont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3" xfId="0" applyFont="1" applyBorder="1" applyAlignment="1">
      <alignment horizontal="center" vertical="center"/>
    </xf>
    <xf numFmtId="0" fontId="4" fillId="0" borderId="4" xfId="0" applyFont="1" applyBorder="1" applyAlignment="1"/>
    <xf numFmtId="0" fontId="4" fillId="0" borderId="5" xfId="0" applyFont="1" applyBorder="1" applyAlignment="1"/>
    <xf numFmtId="0" fontId="5" fillId="0" borderId="0" xfId="0" applyFont="1" applyAlignment="1">
      <alignment horizontal="center" wrapText="1"/>
    </xf>
    <xf numFmtId="0" fontId="5" fillId="0" borderId="8" xfId="0" applyFont="1" applyFill="1" applyBorder="1" applyAlignment="1">
      <alignment horizontal="center"/>
    </xf>
    <xf numFmtId="0" fontId="5" fillId="0" borderId="3" xfId="0" applyFont="1" applyFill="1" applyBorder="1" applyAlignment="1">
      <alignment horizontal="center" vertical="center" wrapText="1"/>
    </xf>
    <xf numFmtId="0" fontId="2" fillId="0" borderId="5" xfId="0" applyFont="1" applyBorder="1" applyAlignment="1">
      <alignment vertical="center"/>
    </xf>
    <xf numFmtId="0" fontId="6" fillId="0" borderId="0" xfId="0" quotePrefix="1" applyFont="1" applyAlignment="1">
      <alignment horizontal="center"/>
    </xf>
    <xf numFmtId="0" fontId="4" fillId="0" borderId="3"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0" xfId="0" applyFont="1" applyAlignment="1">
      <alignment horizontal="left"/>
    </xf>
    <xf numFmtId="0" fontId="5" fillId="0" borderId="1" xfId="0" applyFont="1" applyBorder="1" applyAlignment="1">
      <alignment horizontal="center"/>
    </xf>
    <xf numFmtId="0" fontId="5" fillId="0" borderId="8" xfId="0" applyFont="1" applyBorder="1" applyAlignment="1">
      <alignment horizontal="center"/>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0" fillId="0" borderId="5" xfId="0" applyBorder="1" applyAlignment="1">
      <alignment horizontal="left" vertical="center" wrapText="1"/>
    </xf>
    <xf numFmtId="0" fontId="5" fillId="0" borderId="3" xfId="0" applyFont="1" applyBorder="1" applyAlignment="1">
      <alignment horizontal="left" vertical="center" wrapText="1"/>
    </xf>
    <xf numFmtId="0" fontId="2" fillId="0" borderId="5" xfId="0" applyFont="1" applyBorder="1" applyAlignment="1">
      <alignment horizontal="left" vertical="center" wrapText="1"/>
    </xf>
    <xf numFmtId="0" fontId="7" fillId="0" borderId="3" xfId="0" applyFont="1" applyFill="1" applyBorder="1" applyAlignment="1">
      <alignment horizontal="left" vertical="center" wrapText="1"/>
    </xf>
    <xf numFmtId="0" fontId="22" fillId="0" borderId="5" xfId="0" applyFont="1" applyBorder="1" applyAlignment="1">
      <alignment horizontal="left" vertical="center"/>
    </xf>
    <xf numFmtId="0" fontId="7" fillId="0" borderId="3" xfId="0" applyFont="1" applyFill="1" applyBorder="1" applyAlignment="1">
      <alignment horizontal="center" vertical="center" wrapText="1"/>
    </xf>
    <xf numFmtId="0" fontId="22" fillId="0" borderId="5" xfId="0" applyFont="1" applyBorder="1" applyAlignment="1">
      <alignment horizontal="center" vertical="center"/>
    </xf>
    <xf numFmtId="0" fontId="7" fillId="0"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3" xfId="0" applyFont="1" applyFill="1" applyBorder="1" applyAlignment="1">
      <alignment horizontal="center" vertical="center" wrapText="1"/>
    </xf>
    <xf numFmtId="0" fontId="0" fillId="0" borderId="5" xfId="0" applyBorder="1" applyAlignment="1">
      <alignment horizontal="center" vertical="center"/>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7" fillId="0" borderId="5" xfId="0" applyFont="1" applyFill="1" applyBorder="1" applyAlignment="1">
      <alignment horizontal="left" vertical="center" wrapText="1"/>
    </xf>
    <xf numFmtId="0" fontId="5" fillId="0" borderId="1" xfId="0" applyFont="1" applyBorder="1" applyAlignment="1">
      <alignment horizontal="center" wrapText="1"/>
    </xf>
    <xf numFmtId="0" fontId="0" fillId="0" borderId="1" xfId="0" applyBorder="1" applyAlignment="1">
      <alignment horizontal="center" wrapText="1"/>
    </xf>
    <xf numFmtId="0" fontId="5" fillId="0" borderId="0" xfId="0" applyFont="1" applyFill="1" applyAlignment="1">
      <alignment horizontal="center" wrapText="1"/>
    </xf>
    <xf numFmtId="0" fontId="5" fillId="0" borderId="0" xfId="0" applyFont="1" applyFill="1" applyAlignment="1">
      <alignment horizontal="center"/>
    </xf>
    <xf numFmtId="0" fontId="4" fillId="0" borderId="0" xfId="0" applyFont="1" applyFill="1" applyAlignment="1">
      <alignment horizontal="center"/>
    </xf>
    <xf numFmtId="0" fontId="4" fillId="0" borderId="1" xfId="0" applyFont="1" applyFill="1" applyBorder="1" applyAlignment="1">
      <alignment horizontal="center" vertical="center" wrapText="1"/>
    </xf>
  </cellXfs>
  <cellStyles count="5">
    <cellStyle name="Normalny 5" xfId="1"/>
    <cellStyle name="Гиперссылка" xfId="4" builtinId="8"/>
    <cellStyle name="Обычный" xfId="0" builtinId="0"/>
    <cellStyle name="Обычный 2" xfId="2"/>
    <cellStyle name="Обычный_Додаток 2011 дох"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zakon.rada.gov.ua/rada/show/v0011201-11?find=1&amp;text=%D0%BF%D1%96%D0%B4%D1%82%D1%80%D0%B8%D0%B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H118"/>
  <sheetViews>
    <sheetView tabSelected="1" zoomScaleNormal="100" workbookViewId="0">
      <selection activeCell="D10" sqref="D10"/>
    </sheetView>
  </sheetViews>
  <sheetFormatPr defaultColWidth="9.140625" defaultRowHeight="18.75" x14ac:dyDescent="0.3"/>
  <cols>
    <col min="1" max="1" width="18.42578125" style="7" bestFit="1" customWidth="1"/>
    <col min="2" max="2" width="65.28515625" style="7" customWidth="1"/>
    <col min="3" max="3" width="19" style="7" customWidth="1"/>
    <col min="4" max="4" width="22.85546875" style="7" customWidth="1"/>
    <col min="5" max="5" width="17.7109375" style="7" customWidth="1"/>
    <col min="6" max="6" width="16.5703125" style="7" customWidth="1"/>
    <col min="7" max="7" width="9.140625" style="7"/>
    <col min="8" max="8" width="16.42578125" style="7" bestFit="1" customWidth="1"/>
    <col min="9" max="16384" width="9.140625" style="7"/>
  </cols>
  <sheetData>
    <row r="1" spans="1:6" x14ac:dyDescent="0.3">
      <c r="D1" s="7" t="s">
        <v>0</v>
      </c>
    </row>
    <row r="2" spans="1:6" x14ac:dyDescent="0.3">
      <c r="D2" s="7" t="s">
        <v>305</v>
      </c>
    </row>
    <row r="3" spans="1:6" x14ac:dyDescent="0.3">
      <c r="D3" s="7" t="s">
        <v>86</v>
      </c>
    </row>
    <row r="4" spans="1:6" x14ac:dyDescent="0.3">
      <c r="D4" s="7" t="s">
        <v>87</v>
      </c>
    </row>
    <row r="5" spans="1:6" x14ac:dyDescent="0.3">
      <c r="D5" s="7" t="s">
        <v>477</v>
      </c>
    </row>
    <row r="6" spans="1:6" x14ac:dyDescent="0.3">
      <c r="D6" s="7" t="s">
        <v>479</v>
      </c>
    </row>
    <row r="7" spans="1:6" x14ac:dyDescent="0.3">
      <c r="D7" s="7" t="s">
        <v>86</v>
      </c>
    </row>
    <row r="8" spans="1:6" x14ac:dyDescent="0.3">
      <c r="D8" s="7" t="s">
        <v>87</v>
      </c>
    </row>
    <row r="9" spans="1:6" x14ac:dyDescent="0.3">
      <c r="D9" s="7" t="s">
        <v>513</v>
      </c>
    </row>
    <row r="11" spans="1:6" ht="25.5" customHeight="1" x14ac:dyDescent="0.3">
      <c r="A11" s="215" t="s">
        <v>437</v>
      </c>
      <c r="B11" s="216"/>
      <c r="C11" s="216"/>
      <c r="D11" s="216"/>
      <c r="E11" s="216"/>
      <c r="F11" s="216"/>
    </row>
    <row r="12" spans="1:6" x14ac:dyDescent="0.3">
      <c r="A12" s="87" t="s">
        <v>89</v>
      </c>
    </row>
    <row r="13" spans="1:6" ht="11.25" customHeight="1" x14ac:dyDescent="0.3">
      <c r="A13" s="7" t="s">
        <v>1</v>
      </c>
      <c r="F13" s="8" t="s">
        <v>2</v>
      </c>
    </row>
    <row r="14" spans="1:6" x14ac:dyDescent="0.3">
      <c r="A14" s="217" t="s">
        <v>3</v>
      </c>
      <c r="B14" s="217" t="s">
        <v>4</v>
      </c>
      <c r="C14" s="218" t="s">
        <v>5</v>
      </c>
      <c r="D14" s="217" t="s">
        <v>6</v>
      </c>
      <c r="E14" s="217" t="s">
        <v>7</v>
      </c>
      <c r="F14" s="217"/>
    </row>
    <row r="15" spans="1:6" x14ac:dyDescent="0.3">
      <c r="A15" s="217"/>
      <c r="B15" s="217"/>
      <c r="C15" s="217"/>
      <c r="D15" s="217"/>
      <c r="E15" s="217" t="s">
        <v>8</v>
      </c>
      <c r="F15" s="217" t="s">
        <v>9</v>
      </c>
    </row>
    <row r="16" spans="1:6" x14ac:dyDescent="0.3">
      <c r="A16" s="217"/>
      <c r="B16" s="217"/>
      <c r="C16" s="217"/>
      <c r="D16" s="217"/>
      <c r="E16" s="217"/>
      <c r="F16" s="217"/>
    </row>
    <row r="17" spans="1:6" x14ac:dyDescent="0.3">
      <c r="A17" s="9">
        <v>1</v>
      </c>
      <c r="B17" s="9">
        <v>2</v>
      </c>
      <c r="C17" s="10">
        <v>3</v>
      </c>
      <c r="D17" s="9">
        <v>4</v>
      </c>
      <c r="E17" s="9">
        <v>5</v>
      </c>
      <c r="F17" s="9">
        <v>6</v>
      </c>
    </row>
    <row r="18" spans="1:6" x14ac:dyDescent="0.3">
      <c r="A18" s="11">
        <v>10000000</v>
      </c>
      <c r="B18" s="12" t="s">
        <v>10</v>
      </c>
      <c r="C18" s="13">
        <f t="shared" ref="C18:C52" si="0">D18+E18</f>
        <v>27043100</v>
      </c>
      <c r="D18" s="14">
        <f>D19+D28+D35+D43</f>
        <v>27043100</v>
      </c>
      <c r="E18" s="14">
        <f t="shared" ref="E18:F18" si="1">E19+E28+E35+E43</f>
        <v>0</v>
      </c>
      <c r="F18" s="14">
        <f t="shared" si="1"/>
        <v>0</v>
      </c>
    </row>
    <row r="19" spans="1:6" ht="37.5" x14ac:dyDescent="0.3">
      <c r="A19" s="11">
        <v>11000000</v>
      </c>
      <c r="B19" s="12" t="s">
        <v>11</v>
      </c>
      <c r="C19" s="13">
        <f t="shared" si="0"/>
        <v>15212800</v>
      </c>
      <c r="D19" s="14">
        <f>D20+D26</f>
        <v>15212800</v>
      </c>
      <c r="E19" s="14">
        <f t="shared" ref="E19:F19" si="2">E20</f>
        <v>0</v>
      </c>
      <c r="F19" s="14">
        <f t="shared" si="2"/>
        <v>0</v>
      </c>
    </row>
    <row r="20" spans="1:6" x14ac:dyDescent="0.3">
      <c r="A20" s="11">
        <v>11010000</v>
      </c>
      <c r="B20" s="12" t="s">
        <v>12</v>
      </c>
      <c r="C20" s="13">
        <f t="shared" si="0"/>
        <v>15212800</v>
      </c>
      <c r="D20" s="14">
        <f>D21+D22+D23+D24+D25</f>
        <v>15212800</v>
      </c>
      <c r="E20" s="14">
        <f t="shared" ref="E20:F20" si="3">E21+E22+E23+E24</f>
        <v>0</v>
      </c>
      <c r="F20" s="14">
        <f t="shared" si="3"/>
        <v>0</v>
      </c>
    </row>
    <row r="21" spans="1:6" ht="56.25" x14ac:dyDescent="0.3">
      <c r="A21" s="15">
        <v>11010100</v>
      </c>
      <c r="B21" s="16" t="s">
        <v>13</v>
      </c>
      <c r="C21" s="17">
        <f t="shared" si="0"/>
        <v>14510000</v>
      </c>
      <c r="D21" s="18">
        <v>14510000</v>
      </c>
      <c r="E21" s="18"/>
      <c r="F21" s="18"/>
    </row>
    <row r="22" spans="1:6" ht="93.75" hidden="1" x14ac:dyDescent="0.3">
      <c r="A22" s="15">
        <v>11010200</v>
      </c>
      <c r="B22" s="16" t="s">
        <v>14</v>
      </c>
      <c r="C22" s="17">
        <f t="shared" si="0"/>
        <v>0</v>
      </c>
      <c r="D22" s="18">
        <v>0</v>
      </c>
      <c r="E22" s="18"/>
      <c r="F22" s="18"/>
    </row>
    <row r="23" spans="1:6" ht="56.25" x14ac:dyDescent="0.3">
      <c r="A23" s="15">
        <v>11010400</v>
      </c>
      <c r="B23" s="16" t="s">
        <v>15</v>
      </c>
      <c r="C23" s="17">
        <f t="shared" si="0"/>
        <v>455000</v>
      </c>
      <c r="D23" s="18">
        <v>455000</v>
      </c>
      <c r="E23" s="18"/>
      <c r="F23" s="18"/>
    </row>
    <row r="24" spans="1:6" ht="56.25" x14ac:dyDescent="0.3">
      <c r="A24" s="15">
        <v>11010500</v>
      </c>
      <c r="B24" s="16" t="s">
        <v>16</v>
      </c>
      <c r="C24" s="17">
        <f t="shared" si="0"/>
        <v>235000</v>
      </c>
      <c r="D24" s="18">
        <v>235000</v>
      </c>
      <c r="E24" s="18"/>
      <c r="F24" s="18"/>
    </row>
    <row r="25" spans="1:6" customFormat="1" ht="56.25" x14ac:dyDescent="0.2">
      <c r="A25" s="15">
        <v>11011300</v>
      </c>
      <c r="B25" s="16" t="s">
        <v>366</v>
      </c>
      <c r="C25" s="17">
        <f t="shared" si="0"/>
        <v>12800</v>
      </c>
      <c r="D25" s="18">
        <v>12800</v>
      </c>
      <c r="E25" s="18"/>
      <c r="F25" s="18"/>
    </row>
    <row r="26" spans="1:6" customFormat="1" x14ac:dyDescent="0.2">
      <c r="A26" s="11">
        <v>11020000</v>
      </c>
      <c r="B26" s="12" t="s">
        <v>17</v>
      </c>
      <c r="C26" s="13">
        <f>C27</f>
        <v>0</v>
      </c>
      <c r="D26" s="14">
        <f>D27</f>
        <v>0</v>
      </c>
      <c r="E26" s="14"/>
      <c r="F26" s="14"/>
    </row>
    <row r="27" spans="1:6" customFormat="1" ht="37.5" x14ac:dyDescent="0.2">
      <c r="A27" s="15">
        <v>11020200</v>
      </c>
      <c r="B27" s="16" t="s">
        <v>18</v>
      </c>
      <c r="C27" s="17">
        <f t="shared" si="0"/>
        <v>0</v>
      </c>
      <c r="D27" s="18">
        <v>0</v>
      </c>
      <c r="E27" s="18">
        <v>0</v>
      </c>
      <c r="F27" s="18">
        <v>0</v>
      </c>
    </row>
    <row r="28" spans="1:6" ht="37.5" x14ac:dyDescent="0.3">
      <c r="A28" s="11">
        <v>13000000</v>
      </c>
      <c r="B28" s="12" t="s">
        <v>19</v>
      </c>
      <c r="C28" s="13">
        <f t="shared" si="0"/>
        <v>45000</v>
      </c>
      <c r="D28" s="14">
        <f>D29+D31+D33</f>
        <v>45000</v>
      </c>
      <c r="E28" s="14">
        <f t="shared" ref="E28:F28" si="4">E29+E31+E33</f>
        <v>0</v>
      </c>
      <c r="F28" s="14">
        <f t="shared" si="4"/>
        <v>0</v>
      </c>
    </row>
    <row r="29" spans="1:6" ht="37.5" x14ac:dyDescent="0.3">
      <c r="A29" s="11">
        <v>13010000</v>
      </c>
      <c r="B29" s="12" t="s">
        <v>20</v>
      </c>
      <c r="C29" s="13">
        <f t="shared" si="0"/>
        <v>40000</v>
      </c>
      <c r="D29" s="14">
        <f>D30</f>
        <v>40000</v>
      </c>
      <c r="E29" s="14">
        <f t="shared" ref="E29:F29" si="5">E30</f>
        <v>0</v>
      </c>
      <c r="F29" s="14">
        <f t="shared" si="5"/>
        <v>0</v>
      </c>
    </row>
    <row r="30" spans="1:6" ht="93.75" x14ac:dyDescent="0.3">
      <c r="A30" s="15">
        <v>13010200</v>
      </c>
      <c r="B30" s="16" t="s">
        <v>21</v>
      </c>
      <c r="C30" s="17">
        <f t="shared" si="0"/>
        <v>40000</v>
      </c>
      <c r="D30" s="18">
        <v>40000</v>
      </c>
      <c r="E30" s="18"/>
      <c r="F30" s="18"/>
    </row>
    <row r="31" spans="1:6" ht="37.5" x14ac:dyDescent="0.3">
      <c r="A31" s="11">
        <v>13030000</v>
      </c>
      <c r="B31" s="12" t="s">
        <v>22</v>
      </c>
      <c r="C31" s="13">
        <f t="shared" si="0"/>
        <v>5000</v>
      </c>
      <c r="D31" s="14">
        <f>D32</f>
        <v>5000</v>
      </c>
      <c r="E31" s="14">
        <f t="shared" ref="E31:F31" si="6">E32</f>
        <v>0</v>
      </c>
      <c r="F31" s="14">
        <f t="shared" si="6"/>
        <v>0</v>
      </c>
    </row>
    <row r="32" spans="1:6" ht="56.25" x14ac:dyDescent="0.3">
      <c r="A32" s="15">
        <v>13030100</v>
      </c>
      <c r="B32" s="16" t="s">
        <v>23</v>
      </c>
      <c r="C32" s="17">
        <f t="shared" si="0"/>
        <v>5000</v>
      </c>
      <c r="D32" s="18">
        <v>5000</v>
      </c>
      <c r="E32" s="18"/>
      <c r="F32" s="18"/>
    </row>
    <row r="33" spans="1:6" ht="37.5" hidden="1" x14ac:dyDescent="0.3">
      <c r="A33" s="11">
        <v>13040000</v>
      </c>
      <c r="B33" s="12" t="s">
        <v>24</v>
      </c>
      <c r="C33" s="13">
        <f t="shared" si="0"/>
        <v>0</v>
      </c>
      <c r="D33" s="14">
        <f>D34</f>
        <v>0</v>
      </c>
      <c r="E33" s="14">
        <f t="shared" ref="E33:F33" si="7">E34</f>
        <v>0</v>
      </c>
      <c r="F33" s="14">
        <f t="shared" si="7"/>
        <v>0</v>
      </c>
    </row>
    <row r="34" spans="1:6" ht="37.5" hidden="1" x14ac:dyDescent="0.3">
      <c r="A34" s="15">
        <v>13040100</v>
      </c>
      <c r="B34" s="16" t="s">
        <v>25</v>
      </c>
      <c r="C34" s="17">
        <f t="shared" si="0"/>
        <v>0</v>
      </c>
      <c r="D34" s="18"/>
      <c r="E34" s="18"/>
      <c r="F34" s="18"/>
    </row>
    <row r="35" spans="1:6" x14ac:dyDescent="0.3">
      <c r="A35" s="11">
        <v>14000000</v>
      </c>
      <c r="B35" s="12" t="s">
        <v>26</v>
      </c>
      <c r="C35" s="13">
        <f t="shared" si="0"/>
        <v>780000</v>
      </c>
      <c r="D35" s="14">
        <f>D36+D38+D40</f>
        <v>780000</v>
      </c>
      <c r="E35" s="14">
        <f t="shared" ref="E35:F35" si="8">E36+E38+E40</f>
        <v>0</v>
      </c>
      <c r="F35" s="14">
        <f t="shared" si="8"/>
        <v>0</v>
      </c>
    </row>
    <row r="36" spans="1:6" ht="37.5" x14ac:dyDescent="0.3">
      <c r="A36" s="11">
        <v>14020000</v>
      </c>
      <c r="B36" s="12" t="s">
        <v>27</v>
      </c>
      <c r="C36" s="13">
        <f t="shared" si="0"/>
        <v>30000</v>
      </c>
      <c r="D36" s="14">
        <f>D37</f>
        <v>30000</v>
      </c>
      <c r="E36" s="14">
        <f t="shared" ref="E36:F36" si="9">E37</f>
        <v>0</v>
      </c>
      <c r="F36" s="14">
        <f t="shared" si="9"/>
        <v>0</v>
      </c>
    </row>
    <row r="37" spans="1:6" x14ac:dyDescent="0.3">
      <c r="A37" s="15">
        <v>14021900</v>
      </c>
      <c r="B37" s="16" t="s">
        <v>28</v>
      </c>
      <c r="C37" s="17">
        <f t="shared" si="0"/>
        <v>30000</v>
      </c>
      <c r="D37" s="18">
        <v>30000</v>
      </c>
      <c r="E37" s="18"/>
      <c r="F37" s="18"/>
    </row>
    <row r="38" spans="1:6" ht="56.25" x14ac:dyDescent="0.3">
      <c r="A38" s="11">
        <v>14030000</v>
      </c>
      <c r="B38" s="12" t="s">
        <v>29</v>
      </c>
      <c r="C38" s="13">
        <f t="shared" si="0"/>
        <v>250000</v>
      </c>
      <c r="D38" s="14">
        <f>D39</f>
        <v>250000</v>
      </c>
      <c r="E38" s="14">
        <f t="shared" ref="E38:F38" si="10">E39</f>
        <v>0</v>
      </c>
      <c r="F38" s="14">
        <f t="shared" si="10"/>
        <v>0</v>
      </c>
    </row>
    <row r="39" spans="1:6" x14ac:dyDescent="0.3">
      <c r="A39" s="15">
        <v>14031900</v>
      </c>
      <c r="B39" s="16" t="s">
        <v>28</v>
      </c>
      <c r="C39" s="17">
        <f t="shared" si="0"/>
        <v>250000</v>
      </c>
      <c r="D39" s="18">
        <v>250000</v>
      </c>
      <c r="E39" s="18">
        <v>0</v>
      </c>
      <c r="F39" s="18">
        <v>0</v>
      </c>
    </row>
    <row r="40" spans="1:6" ht="56.25" x14ac:dyDescent="0.3">
      <c r="A40" s="11">
        <v>14040000</v>
      </c>
      <c r="B40" s="12" t="s">
        <v>30</v>
      </c>
      <c r="C40" s="13">
        <f t="shared" si="0"/>
        <v>500000</v>
      </c>
      <c r="D40" s="14">
        <f>D41+D42</f>
        <v>500000</v>
      </c>
      <c r="E40" s="14">
        <f t="shared" ref="E40:F40" si="11">E42</f>
        <v>0</v>
      </c>
      <c r="F40" s="14">
        <f t="shared" si="11"/>
        <v>0</v>
      </c>
    </row>
    <row r="41" spans="1:6" ht="131.25" x14ac:dyDescent="0.3">
      <c r="A41" s="15">
        <v>14040100</v>
      </c>
      <c r="B41" s="16" t="s">
        <v>364</v>
      </c>
      <c r="C41" s="17">
        <f>D41</f>
        <v>500000</v>
      </c>
      <c r="D41" s="18">
        <v>500000</v>
      </c>
      <c r="E41" s="14"/>
      <c r="F41" s="14"/>
    </row>
    <row r="42" spans="1:6" ht="93.75" x14ac:dyDescent="0.3">
      <c r="A42" s="19" t="s">
        <v>83</v>
      </c>
      <c r="B42" s="16" t="s">
        <v>84</v>
      </c>
      <c r="C42" s="17">
        <f>D42+E42</f>
        <v>0</v>
      </c>
      <c r="D42" s="18">
        <v>0</v>
      </c>
      <c r="E42" s="18"/>
      <c r="F42" s="18"/>
    </row>
    <row r="43" spans="1:6" ht="56.25" x14ac:dyDescent="0.3">
      <c r="A43" s="11">
        <v>18000000</v>
      </c>
      <c r="B43" s="12" t="s">
        <v>31</v>
      </c>
      <c r="C43" s="13">
        <f>D43+E43</f>
        <v>11005300</v>
      </c>
      <c r="D43" s="14">
        <f>D44+D53+D56</f>
        <v>11005300</v>
      </c>
      <c r="E43" s="14">
        <f t="shared" ref="E43:F43" si="12">E44+E53+E56</f>
        <v>0</v>
      </c>
      <c r="F43" s="14">
        <f t="shared" si="12"/>
        <v>0</v>
      </c>
    </row>
    <row r="44" spans="1:6" x14ac:dyDescent="0.3">
      <c r="A44" s="11">
        <v>18010000</v>
      </c>
      <c r="B44" s="12" t="s">
        <v>32</v>
      </c>
      <c r="C44" s="13">
        <f t="shared" si="0"/>
        <v>3205300</v>
      </c>
      <c r="D44" s="14">
        <f>D45+D46+D47+D48+D49+D50+D51+D52</f>
        <v>3205300</v>
      </c>
      <c r="E44" s="14">
        <f t="shared" ref="E44:F44" si="13">E45+E46+E47+E48+E49+E50+E51+E52</f>
        <v>0</v>
      </c>
      <c r="F44" s="14">
        <f t="shared" si="13"/>
        <v>0</v>
      </c>
    </row>
    <row r="45" spans="1:6" customFormat="1" ht="56.25" x14ac:dyDescent="0.2">
      <c r="A45" s="15">
        <v>18010100</v>
      </c>
      <c r="B45" s="16" t="s">
        <v>33</v>
      </c>
      <c r="C45" s="17">
        <f t="shared" si="0"/>
        <v>5300</v>
      </c>
      <c r="D45" s="18">
        <v>5300</v>
      </c>
      <c r="E45" s="18"/>
      <c r="F45" s="18"/>
    </row>
    <row r="46" spans="1:6" customFormat="1" ht="56.25" x14ac:dyDescent="0.2">
      <c r="A46" s="15">
        <v>18010200</v>
      </c>
      <c r="B46" s="16" t="s">
        <v>34</v>
      </c>
      <c r="C46" s="17">
        <f t="shared" si="0"/>
        <v>80000</v>
      </c>
      <c r="D46" s="18">
        <v>80000</v>
      </c>
      <c r="E46" s="18"/>
      <c r="F46" s="18"/>
    </row>
    <row r="47" spans="1:6" customFormat="1" ht="56.25" x14ac:dyDescent="0.2">
      <c r="A47" s="15">
        <v>18010300</v>
      </c>
      <c r="B47" s="16" t="s">
        <v>35</v>
      </c>
      <c r="C47" s="17">
        <f t="shared" si="0"/>
        <v>100000</v>
      </c>
      <c r="D47" s="18">
        <v>100000</v>
      </c>
      <c r="E47" s="18"/>
      <c r="F47" s="18"/>
    </row>
    <row r="48" spans="1:6" ht="56.25" x14ac:dyDescent="0.3">
      <c r="A48" s="15">
        <v>18010400</v>
      </c>
      <c r="B48" s="16" t="s">
        <v>36</v>
      </c>
      <c r="C48" s="17">
        <f t="shared" si="0"/>
        <v>450000</v>
      </c>
      <c r="D48" s="18">
        <v>450000</v>
      </c>
      <c r="E48" s="18"/>
      <c r="F48" s="18"/>
    </row>
    <row r="49" spans="1:6" x14ac:dyDescent="0.3">
      <c r="A49" s="15">
        <v>18010500</v>
      </c>
      <c r="B49" s="16" t="s">
        <v>37</v>
      </c>
      <c r="C49" s="17">
        <f t="shared" si="0"/>
        <v>1500000</v>
      </c>
      <c r="D49" s="18">
        <v>1500000</v>
      </c>
      <c r="E49" s="18"/>
      <c r="F49" s="18"/>
    </row>
    <row r="50" spans="1:6" x14ac:dyDescent="0.3">
      <c r="A50" s="15">
        <v>18010600</v>
      </c>
      <c r="B50" s="16" t="s">
        <v>38</v>
      </c>
      <c r="C50" s="17">
        <f t="shared" si="0"/>
        <v>700000</v>
      </c>
      <c r="D50" s="18">
        <v>700000</v>
      </c>
      <c r="E50" s="18"/>
      <c r="F50" s="18"/>
    </row>
    <row r="51" spans="1:6" x14ac:dyDescent="0.3">
      <c r="A51" s="15">
        <v>18010700</v>
      </c>
      <c r="B51" s="16" t="s">
        <v>39</v>
      </c>
      <c r="C51" s="17">
        <f t="shared" si="0"/>
        <v>70000</v>
      </c>
      <c r="D51" s="18">
        <v>70000</v>
      </c>
      <c r="E51" s="18"/>
      <c r="F51" s="18"/>
    </row>
    <row r="52" spans="1:6" x14ac:dyDescent="0.3">
      <c r="A52" s="15">
        <v>18010900</v>
      </c>
      <c r="B52" s="16" t="s">
        <v>40</v>
      </c>
      <c r="C52" s="17">
        <f t="shared" si="0"/>
        <v>300000</v>
      </c>
      <c r="D52" s="18">
        <v>300000</v>
      </c>
      <c r="E52" s="18"/>
      <c r="F52" s="18"/>
    </row>
    <row r="53" spans="1:6" customFormat="1" x14ac:dyDescent="0.2">
      <c r="A53" s="11">
        <v>18030000</v>
      </c>
      <c r="B53" s="12" t="s">
        <v>41</v>
      </c>
      <c r="C53" s="13">
        <f t="shared" ref="C53:C84" si="14">D53+E53</f>
        <v>0</v>
      </c>
      <c r="D53" s="14">
        <f>D54+D55</f>
        <v>0</v>
      </c>
      <c r="E53" s="14">
        <v>0</v>
      </c>
      <c r="F53" s="14">
        <v>0</v>
      </c>
    </row>
    <row r="54" spans="1:6" customFormat="1" ht="37.5" hidden="1" x14ac:dyDescent="0.2">
      <c r="A54" s="15">
        <v>18030100</v>
      </c>
      <c r="B54" s="16" t="s">
        <v>42</v>
      </c>
      <c r="C54" s="17">
        <f t="shared" si="14"/>
        <v>0</v>
      </c>
      <c r="D54" s="18"/>
      <c r="E54" s="18"/>
      <c r="F54" s="18"/>
    </row>
    <row r="55" spans="1:6" customFormat="1" x14ac:dyDescent="0.2">
      <c r="A55" s="15">
        <v>18030200</v>
      </c>
      <c r="B55" s="16" t="s">
        <v>43</v>
      </c>
      <c r="C55" s="17">
        <f t="shared" si="14"/>
        <v>0</v>
      </c>
      <c r="D55" s="18">
        <v>0</v>
      </c>
      <c r="E55" s="18"/>
      <c r="F55" s="18"/>
    </row>
    <row r="56" spans="1:6" x14ac:dyDescent="0.3">
      <c r="A56" s="11">
        <v>18050000</v>
      </c>
      <c r="B56" s="12" t="s">
        <v>44</v>
      </c>
      <c r="C56" s="13">
        <f t="shared" si="14"/>
        <v>7800000</v>
      </c>
      <c r="D56" s="14">
        <f>D57+D58+D59</f>
        <v>7800000</v>
      </c>
      <c r="E56" s="14">
        <f t="shared" ref="E56:F56" si="15">E57+E58+E59</f>
        <v>0</v>
      </c>
      <c r="F56" s="14">
        <f t="shared" si="15"/>
        <v>0</v>
      </c>
    </row>
    <row r="57" spans="1:6" x14ac:dyDescent="0.3">
      <c r="A57" s="15">
        <v>18050300</v>
      </c>
      <c r="B57" s="16" t="s">
        <v>45</v>
      </c>
      <c r="C57" s="17">
        <f t="shared" si="14"/>
        <v>550000</v>
      </c>
      <c r="D57" s="18">
        <v>550000</v>
      </c>
      <c r="E57" s="18"/>
      <c r="F57" s="18"/>
    </row>
    <row r="58" spans="1:6" x14ac:dyDescent="0.3">
      <c r="A58" s="15">
        <v>18050400</v>
      </c>
      <c r="B58" s="16" t="s">
        <v>46</v>
      </c>
      <c r="C58" s="17">
        <f t="shared" si="14"/>
        <v>6800000</v>
      </c>
      <c r="D58" s="18">
        <v>6800000</v>
      </c>
      <c r="E58" s="18"/>
      <c r="F58" s="18"/>
    </row>
    <row r="59" spans="1:6" ht="93.75" x14ac:dyDescent="0.3">
      <c r="A59" s="15">
        <v>18050500</v>
      </c>
      <c r="B59" s="16" t="s">
        <v>47</v>
      </c>
      <c r="C59" s="17">
        <f t="shared" si="14"/>
        <v>450000</v>
      </c>
      <c r="D59" s="18">
        <v>450000</v>
      </c>
      <c r="E59" s="18"/>
      <c r="F59" s="18"/>
    </row>
    <row r="60" spans="1:6" customFormat="1" ht="24" hidden="1" customHeight="1" x14ac:dyDescent="0.2">
      <c r="A60" s="11">
        <v>19000000</v>
      </c>
      <c r="B60" s="12" t="s">
        <v>48</v>
      </c>
      <c r="C60" s="13">
        <f t="shared" si="14"/>
        <v>0</v>
      </c>
      <c r="D60" s="14">
        <v>0</v>
      </c>
      <c r="E60" s="14">
        <f>E61</f>
        <v>0</v>
      </c>
      <c r="F60" s="14">
        <v>0</v>
      </c>
    </row>
    <row r="61" spans="1:6" customFormat="1" hidden="1" x14ac:dyDescent="0.2">
      <c r="A61" s="11">
        <v>19010000</v>
      </c>
      <c r="B61" s="12" t="s">
        <v>49</v>
      </c>
      <c r="C61" s="13">
        <f t="shared" si="14"/>
        <v>0</v>
      </c>
      <c r="D61" s="14">
        <v>0</v>
      </c>
      <c r="E61" s="14">
        <f>E62</f>
        <v>0</v>
      </c>
      <c r="F61" s="14">
        <v>0</v>
      </c>
    </row>
    <row r="62" spans="1:6" customFormat="1" ht="93.75" hidden="1" x14ac:dyDescent="0.2">
      <c r="A62" s="15">
        <v>19010100</v>
      </c>
      <c r="B62" s="16" t="s">
        <v>50</v>
      </c>
      <c r="C62" s="17">
        <f t="shared" si="14"/>
        <v>0</v>
      </c>
      <c r="D62" s="18"/>
      <c r="E62" s="18">
        <v>0</v>
      </c>
      <c r="F62" s="18"/>
    </row>
    <row r="63" spans="1:6" customFormat="1" ht="75" hidden="1" x14ac:dyDescent="0.2">
      <c r="A63" s="15">
        <v>19010300</v>
      </c>
      <c r="B63" s="16" t="s">
        <v>51</v>
      </c>
      <c r="C63" s="17">
        <f t="shared" si="14"/>
        <v>0</v>
      </c>
      <c r="D63" s="18"/>
      <c r="E63" s="18"/>
      <c r="F63" s="18"/>
    </row>
    <row r="64" spans="1:6" customFormat="1" x14ac:dyDescent="0.2">
      <c r="A64" s="11">
        <v>20000000</v>
      </c>
      <c r="B64" s="12" t="s">
        <v>52</v>
      </c>
      <c r="C64" s="13">
        <f>C70+C77</f>
        <v>10700</v>
      </c>
      <c r="D64" s="14">
        <f>D70+D77</f>
        <v>10700</v>
      </c>
      <c r="E64" s="14">
        <v>0</v>
      </c>
      <c r="F64" s="14">
        <v>0</v>
      </c>
    </row>
    <row r="65" spans="1:6" customFormat="1" ht="37.5" hidden="1" x14ac:dyDescent="0.2">
      <c r="A65" s="11">
        <v>21000000</v>
      </c>
      <c r="B65" s="12" t="s">
        <v>53</v>
      </c>
      <c r="C65" s="13">
        <f t="shared" si="14"/>
        <v>0</v>
      </c>
      <c r="D65" s="14">
        <v>0</v>
      </c>
      <c r="E65" s="14">
        <v>0</v>
      </c>
      <c r="F65" s="14">
        <v>0</v>
      </c>
    </row>
    <row r="66" spans="1:6" customFormat="1" hidden="1" x14ac:dyDescent="0.2">
      <c r="A66" s="11">
        <v>21080000</v>
      </c>
      <c r="B66" s="12" t="s">
        <v>54</v>
      </c>
      <c r="C66" s="13">
        <f t="shared" si="14"/>
        <v>0</v>
      </c>
      <c r="D66" s="14">
        <f>D67+D68+D69</f>
        <v>0</v>
      </c>
      <c r="E66" s="14">
        <v>0</v>
      </c>
      <c r="F66" s="14">
        <v>0</v>
      </c>
    </row>
    <row r="67" spans="1:6" customFormat="1" hidden="1" x14ac:dyDescent="0.2">
      <c r="A67" s="15">
        <v>21081100</v>
      </c>
      <c r="B67" s="16" t="s">
        <v>55</v>
      </c>
      <c r="C67" s="17">
        <f t="shared" si="14"/>
        <v>0</v>
      </c>
      <c r="D67" s="18"/>
      <c r="E67" s="18"/>
      <c r="F67" s="18"/>
    </row>
    <row r="68" spans="1:6" customFormat="1" ht="56.25" hidden="1" x14ac:dyDescent="0.2">
      <c r="A68" s="15">
        <v>21081500</v>
      </c>
      <c r="B68" s="16" t="s">
        <v>56</v>
      </c>
      <c r="C68" s="17">
        <f t="shared" si="14"/>
        <v>0</v>
      </c>
      <c r="D68" s="18"/>
      <c r="E68" s="18"/>
      <c r="F68" s="18"/>
    </row>
    <row r="69" spans="1:6" customFormat="1" hidden="1" x14ac:dyDescent="0.2">
      <c r="A69" s="15">
        <v>21081700</v>
      </c>
      <c r="B69" s="16" t="s">
        <v>57</v>
      </c>
      <c r="C69" s="17">
        <f t="shared" si="14"/>
        <v>0</v>
      </c>
      <c r="D69" s="18"/>
      <c r="E69" s="18"/>
      <c r="F69" s="18"/>
    </row>
    <row r="70" spans="1:6" customFormat="1" ht="37.5" x14ac:dyDescent="0.2">
      <c r="A70" s="11">
        <v>22000000</v>
      </c>
      <c r="B70" s="12" t="s">
        <v>58</v>
      </c>
      <c r="C70" s="13">
        <f t="shared" si="14"/>
        <v>5000</v>
      </c>
      <c r="D70" s="14">
        <f>D71+D73+D75</f>
        <v>5000</v>
      </c>
      <c r="E70" s="14">
        <v>0</v>
      </c>
      <c r="F70" s="14">
        <v>0</v>
      </c>
    </row>
    <row r="71" spans="1:6" customFormat="1" x14ac:dyDescent="0.2">
      <c r="A71" s="11">
        <v>22010000</v>
      </c>
      <c r="B71" s="12" t="s">
        <v>59</v>
      </c>
      <c r="C71" s="13">
        <f t="shared" si="14"/>
        <v>5000</v>
      </c>
      <c r="D71" s="14">
        <f>D72</f>
        <v>5000</v>
      </c>
      <c r="E71" s="14">
        <v>0</v>
      </c>
      <c r="F71" s="14">
        <v>0</v>
      </c>
    </row>
    <row r="72" spans="1:6" customFormat="1" x14ac:dyDescent="0.2">
      <c r="A72" s="15">
        <v>22012500</v>
      </c>
      <c r="B72" s="16" t="s">
        <v>60</v>
      </c>
      <c r="C72" s="17">
        <f t="shared" si="14"/>
        <v>5000</v>
      </c>
      <c r="D72" s="18">
        <v>5000</v>
      </c>
      <c r="E72" s="18"/>
      <c r="F72" s="18"/>
    </row>
    <row r="73" spans="1:6" customFormat="1" ht="56.25" hidden="1" x14ac:dyDescent="0.2">
      <c r="A73" s="11">
        <v>22080000</v>
      </c>
      <c r="B73" s="12" t="s">
        <v>61</v>
      </c>
      <c r="C73" s="13">
        <f t="shared" si="14"/>
        <v>0</v>
      </c>
      <c r="D73" s="14">
        <f>D74</f>
        <v>0</v>
      </c>
      <c r="E73" s="14">
        <v>0</v>
      </c>
      <c r="F73" s="14">
        <v>0</v>
      </c>
    </row>
    <row r="74" spans="1:6" customFormat="1" ht="56.25" hidden="1" x14ac:dyDescent="0.2">
      <c r="A74" s="15">
        <v>22080400</v>
      </c>
      <c r="B74" s="16" t="s">
        <v>62</v>
      </c>
      <c r="C74" s="17">
        <f t="shared" si="14"/>
        <v>0</v>
      </c>
      <c r="D74" s="18"/>
      <c r="E74" s="18"/>
      <c r="F74" s="18"/>
    </row>
    <row r="75" spans="1:6" customFormat="1" hidden="1" x14ac:dyDescent="0.2">
      <c r="A75" s="11">
        <v>22090000</v>
      </c>
      <c r="B75" s="12" t="s">
        <v>63</v>
      </c>
      <c r="C75" s="13">
        <f t="shared" si="14"/>
        <v>0</v>
      </c>
      <c r="D75" s="14">
        <f>D76</f>
        <v>0</v>
      </c>
      <c r="E75" s="14">
        <v>0</v>
      </c>
      <c r="F75" s="14">
        <v>0</v>
      </c>
    </row>
    <row r="76" spans="1:6" customFormat="1" ht="112.5" hidden="1" x14ac:dyDescent="0.2">
      <c r="A76" s="11">
        <v>22130000</v>
      </c>
      <c r="B76" s="12" t="s">
        <v>436</v>
      </c>
      <c r="C76" s="17">
        <f t="shared" si="14"/>
        <v>0</v>
      </c>
      <c r="D76" s="18">
        <f>700-700</f>
        <v>0</v>
      </c>
      <c r="E76" s="18"/>
      <c r="F76" s="18"/>
    </row>
    <row r="77" spans="1:6" customFormat="1" x14ac:dyDescent="0.2">
      <c r="A77" s="11">
        <v>24000000</v>
      </c>
      <c r="B77" s="12" t="s">
        <v>64</v>
      </c>
      <c r="C77" s="13">
        <f t="shared" si="14"/>
        <v>5700</v>
      </c>
      <c r="D77" s="14">
        <f>D78</f>
        <v>5700</v>
      </c>
      <c r="E77" s="14">
        <v>0</v>
      </c>
      <c r="F77" s="14">
        <v>0</v>
      </c>
    </row>
    <row r="78" spans="1:6" customFormat="1" x14ac:dyDescent="0.2">
      <c r="A78" s="11">
        <v>24060000</v>
      </c>
      <c r="B78" s="12" t="s">
        <v>54</v>
      </c>
      <c r="C78" s="13">
        <f t="shared" si="14"/>
        <v>5700</v>
      </c>
      <c r="D78" s="14">
        <f>D79</f>
        <v>5700</v>
      </c>
      <c r="E78" s="14">
        <v>0</v>
      </c>
      <c r="F78" s="14">
        <v>0</v>
      </c>
    </row>
    <row r="79" spans="1:6" customFormat="1" x14ac:dyDescent="0.2">
      <c r="A79" s="15">
        <v>24060300</v>
      </c>
      <c r="B79" s="16" t="s">
        <v>54</v>
      </c>
      <c r="C79" s="17">
        <f t="shared" si="14"/>
        <v>5700</v>
      </c>
      <c r="D79" s="18">
        <f>5000+700</f>
        <v>5700</v>
      </c>
      <c r="E79" s="18"/>
      <c r="F79" s="18"/>
    </row>
    <row r="80" spans="1:6" customFormat="1" hidden="1" x14ac:dyDescent="0.2">
      <c r="A80" s="11">
        <v>25000000</v>
      </c>
      <c r="B80" s="12" t="s">
        <v>65</v>
      </c>
      <c r="C80" s="13">
        <f t="shared" si="14"/>
        <v>0</v>
      </c>
      <c r="D80" s="14">
        <v>0</v>
      </c>
      <c r="E80" s="14">
        <f>E81</f>
        <v>0</v>
      </c>
      <c r="F80" s="14">
        <v>0</v>
      </c>
    </row>
    <row r="81" spans="1:8" customFormat="1" ht="56.25" hidden="1" x14ac:dyDescent="0.2">
      <c r="A81" s="11">
        <v>25010000</v>
      </c>
      <c r="B81" s="12" t="s">
        <v>66</v>
      </c>
      <c r="C81" s="13">
        <f t="shared" si="14"/>
        <v>0</v>
      </c>
      <c r="D81" s="14">
        <v>0</v>
      </c>
      <c r="E81" s="14">
        <f>E82</f>
        <v>0</v>
      </c>
      <c r="F81" s="14">
        <v>0</v>
      </c>
    </row>
    <row r="82" spans="1:8" customFormat="1" ht="56.25" hidden="1" x14ac:dyDescent="0.2">
      <c r="A82" s="15">
        <v>25010300</v>
      </c>
      <c r="B82" s="16" t="s">
        <v>367</v>
      </c>
      <c r="C82" s="17">
        <f t="shared" si="14"/>
        <v>0</v>
      </c>
      <c r="D82" s="18">
        <v>0</v>
      </c>
      <c r="E82" s="18">
        <v>0</v>
      </c>
      <c r="F82" s="18">
        <v>0</v>
      </c>
    </row>
    <row r="83" spans="1:8" ht="37.5" x14ac:dyDescent="0.3">
      <c r="A83" s="20"/>
      <c r="B83" s="21" t="s">
        <v>67</v>
      </c>
      <c r="C83" s="13">
        <f t="shared" si="14"/>
        <v>27053800</v>
      </c>
      <c r="D83" s="13">
        <f>D64+D18</f>
        <v>27053800</v>
      </c>
      <c r="E83" s="13">
        <f>E60+E80</f>
        <v>0</v>
      </c>
      <c r="F83" s="13">
        <f t="shared" ref="F83" si="16">F64+F18</f>
        <v>0</v>
      </c>
    </row>
    <row r="84" spans="1:8" x14ac:dyDescent="0.3">
      <c r="A84" s="11">
        <v>40000000</v>
      </c>
      <c r="B84" s="12" t="s">
        <v>68</v>
      </c>
      <c r="C84" s="13">
        <f t="shared" si="14"/>
        <v>60577026</v>
      </c>
      <c r="D84" s="14">
        <f>D85</f>
        <v>60577026</v>
      </c>
      <c r="E84" s="14">
        <f t="shared" ref="E84:F84" si="17">E85</f>
        <v>0</v>
      </c>
      <c r="F84" s="14">
        <f t="shared" si="17"/>
        <v>0</v>
      </c>
    </row>
    <row r="85" spans="1:8" x14ac:dyDescent="0.3">
      <c r="A85" s="11">
        <v>41000000</v>
      </c>
      <c r="B85" s="12" t="s">
        <v>69</v>
      </c>
      <c r="C85" s="13">
        <f t="shared" ref="C85:C104" si="18">D85+E85</f>
        <v>60577026</v>
      </c>
      <c r="D85" s="14">
        <f>D86+D90+D95+D98</f>
        <v>60577026</v>
      </c>
      <c r="E85" s="14">
        <f t="shared" ref="E85:F85" si="19">E86+E90+E95+E98</f>
        <v>0</v>
      </c>
      <c r="F85" s="14">
        <f t="shared" si="19"/>
        <v>0</v>
      </c>
    </row>
    <row r="86" spans="1:8" ht="37.5" x14ac:dyDescent="0.3">
      <c r="A86" s="11">
        <v>41020000</v>
      </c>
      <c r="B86" s="12" t="s">
        <v>70</v>
      </c>
      <c r="C86" s="13">
        <f t="shared" si="18"/>
        <v>47006400</v>
      </c>
      <c r="D86" s="14">
        <f>SUM(D87:D89)</f>
        <v>47006400</v>
      </c>
      <c r="E86" s="14">
        <f t="shared" ref="E86:F86" si="20">SUM(E87:E88)</f>
        <v>0</v>
      </c>
      <c r="F86" s="14">
        <f t="shared" si="20"/>
        <v>0</v>
      </c>
    </row>
    <row r="87" spans="1:8" x14ac:dyDescent="0.3">
      <c r="A87" s="15">
        <v>41020100</v>
      </c>
      <c r="B87" s="16" t="s">
        <v>71</v>
      </c>
      <c r="C87" s="17">
        <f t="shared" ref="C87" si="21">D87+E87</f>
        <v>45062700</v>
      </c>
      <c r="D87" s="18">
        <v>45062700</v>
      </c>
      <c r="E87" s="18"/>
      <c r="F87" s="18"/>
    </row>
    <row r="88" spans="1:8" ht="56.25" x14ac:dyDescent="0.3">
      <c r="A88" s="15">
        <v>41020300</v>
      </c>
      <c r="B88" s="65" t="s">
        <v>473</v>
      </c>
      <c r="C88" s="17">
        <f t="shared" si="18"/>
        <v>1586000</v>
      </c>
      <c r="D88" s="18">
        <v>1586000</v>
      </c>
      <c r="E88" s="18"/>
      <c r="F88" s="18"/>
    </row>
    <row r="89" spans="1:8" ht="131.25" x14ac:dyDescent="0.3">
      <c r="A89" s="25">
        <v>41021400</v>
      </c>
      <c r="B89" s="65" t="s">
        <v>501</v>
      </c>
      <c r="C89" s="17">
        <v>357700</v>
      </c>
      <c r="D89" s="18">
        <v>357700</v>
      </c>
      <c r="E89" s="18"/>
      <c r="F89" s="18"/>
    </row>
    <row r="90" spans="1:8" ht="37.5" x14ac:dyDescent="0.3">
      <c r="A90" s="11">
        <v>41030000</v>
      </c>
      <c r="B90" s="12" t="s">
        <v>72</v>
      </c>
      <c r="C90" s="13">
        <f>E90+D90</f>
        <v>13294600</v>
      </c>
      <c r="D90" s="22">
        <f>D92+D91+D93+D94</f>
        <v>13294600</v>
      </c>
      <c r="E90" s="14">
        <f>E93</f>
        <v>0</v>
      </c>
      <c r="F90" s="14">
        <v>0</v>
      </c>
    </row>
    <row r="91" spans="1:8" ht="409.5" hidden="1" x14ac:dyDescent="0.3">
      <c r="A91" s="15">
        <v>41030500</v>
      </c>
      <c r="B91" s="16" t="s">
        <v>349</v>
      </c>
      <c r="C91" s="17">
        <f t="shared" si="18"/>
        <v>0</v>
      </c>
      <c r="D91" s="23">
        <v>0</v>
      </c>
      <c r="E91" s="18"/>
      <c r="F91" s="18"/>
    </row>
    <row r="92" spans="1:8" ht="37.5" x14ac:dyDescent="0.3">
      <c r="A92" s="15">
        <v>41033900</v>
      </c>
      <c r="B92" s="16" t="s">
        <v>73</v>
      </c>
      <c r="C92" s="17">
        <f t="shared" si="18"/>
        <v>12021600</v>
      </c>
      <c r="D92" s="23">
        <v>12021600</v>
      </c>
      <c r="E92" s="18">
        <v>0</v>
      </c>
      <c r="F92" s="18">
        <v>0</v>
      </c>
      <c r="H92" s="166"/>
    </row>
    <row r="93" spans="1:8" ht="56.25" x14ac:dyDescent="0.3">
      <c r="A93" s="15">
        <v>41035400</v>
      </c>
      <c r="B93" s="180" t="s">
        <v>388</v>
      </c>
      <c r="C93" s="17">
        <f>D93</f>
        <v>10500</v>
      </c>
      <c r="D93" s="23">
        <v>10500</v>
      </c>
      <c r="E93" s="18">
        <v>0</v>
      </c>
      <c r="F93" s="18"/>
      <c r="H93" s="166"/>
    </row>
    <row r="94" spans="1:8" ht="56.25" x14ac:dyDescent="0.3">
      <c r="A94" s="15">
        <v>41036300</v>
      </c>
      <c r="B94" s="138" t="s">
        <v>389</v>
      </c>
      <c r="C94" s="17">
        <f>D94</f>
        <v>1262500</v>
      </c>
      <c r="D94" s="23">
        <v>1262500</v>
      </c>
      <c r="E94" s="18"/>
      <c r="F94" s="18"/>
      <c r="H94" s="166"/>
    </row>
    <row r="95" spans="1:8" ht="37.5" hidden="1" x14ac:dyDescent="0.3">
      <c r="A95" s="11">
        <v>41040000</v>
      </c>
      <c r="B95" s="12" t="s">
        <v>74</v>
      </c>
      <c r="C95" s="13">
        <f t="shared" si="18"/>
        <v>0</v>
      </c>
      <c r="D95" s="22">
        <f>D96+D97</f>
        <v>0</v>
      </c>
      <c r="E95" s="14">
        <v>0</v>
      </c>
      <c r="F95" s="14">
        <v>0</v>
      </c>
    </row>
    <row r="96" spans="1:8" ht="93.75" hidden="1" x14ac:dyDescent="0.3">
      <c r="A96" s="15">
        <v>41040200</v>
      </c>
      <c r="B96" s="16" t="s">
        <v>80</v>
      </c>
      <c r="C96" s="17">
        <f t="shared" si="18"/>
        <v>0</v>
      </c>
      <c r="D96" s="23">
        <v>0</v>
      </c>
      <c r="E96" s="18"/>
      <c r="F96" s="18"/>
    </row>
    <row r="97" spans="1:8" customFormat="1" hidden="1" x14ac:dyDescent="0.2">
      <c r="A97" s="15">
        <v>41040400</v>
      </c>
      <c r="B97" s="16" t="s">
        <v>75</v>
      </c>
      <c r="C97" s="17">
        <f t="shared" si="18"/>
        <v>0</v>
      </c>
      <c r="D97" s="23">
        <v>0</v>
      </c>
      <c r="E97" s="1"/>
      <c r="F97" s="1"/>
    </row>
    <row r="98" spans="1:8" ht="37.5" x14ac:dyDescent="0.3">
      <c r="A98" s="11">
        <v>41050000</v>
      </c>
      <c r="B98" s="12" t="s">
        <v>76</v>
      </c>
      <c r="C98" s="13">
        <f t="shared" si="18"/>
        <v>276026</v>
      </c>
      <c r="D98" s="22">
        <f>SUM(D99:D104)</f>
        <v>276026</v>
      </c>
      <c r="E98" s="22">
        <f t="shared" ref="E98:F98" si="22">SUM(E100:E104)</f>
        <v>0</v>
      </c>
      <c r="F98" s="22">
        <f t="shared" si="22"/>
        <v>0</v>
      </c>
    </row>
    <row r="99" spans="1:8" ht="409.5" hidden="1" x14ac:dyDescent="0.3">
      <c r="A99" s="11">
        <v>41050600</v>
      </c>
      <c r="B99" s="138" t="s">
        <v>351</v>
      </c>
      <c r="C99" s="13">
        <f t="shared" si="18"/>
        <v>0</v>
      </c>
      <c r="D99" s="22">
        <v>0</v>
      </c>
      <c r="E99" s="22"/>
      <c r="F99" s="22"/>
    </row>
    <row r="100" spans="1:8" ht="75" hidden="1" x14ac:dyDescent="0.3">
      <c r="A100" s="15">
        <v>41051200</v>
      </c>
      <c r="B100" s="16" t="s">
        <v>309</v>
      </c>
      <c r="C100" s="17">
        <f t="shared" ref="C100:C102" si="23">D100+E100</f>
        <v>0</v>
      </c>
      <c r="D100" s="23">
        <v>0</v>
      </c>
      <c r="E100" s="18"/>
      <c r="F100" s="18"/>
    </row>
    <row r="101" spans="1:8" ht="75" hidden="1" x14ac:dyDescent="0.3">
      <c r="A101" s="15">
        <v>41051700</v>
      </c>
      <c r="B101" s="164" t="s">
        <v>361</v>
      </c>
      <c r="C101" s="17">
        <f t="shared" si="23"/>
        <v>0</v>
      </c>
      <c r="D101" s="23">
        <v>0</v>
      </c>
      <c r="E101" s="14"/>
      <c r="F101" s="14"/>
    </row>
    <row r="102" spans="1:8" ht="37.5" hidden="1" x14ac:dyDescent="0.3">
      <c r="A102" s="15">
        <v>41053600</v>
      </c>
      <c r="B102" s="196" t="s">
        <v>345</v>
      </c>
      <c r="C102" s="17">
        <f t="shared" si="23"/>
        <v>0</v>
      </c>
      <c r="D102" s="23"/>
      <c r="E102" s="18">
        <v>0</v>
      </c>
      <c r="F102" s="18"/>
    </row>
    <row r="103" spans="1:8" ht="56.25" hidden="1" x14ac:dyDescent="0.3">
      <c r="A103" s="15">
        <v>41053800</v>
      </c>
      <c r="B103" s="197" t="s">
        <v>424</v>
      </c>
      <c r="C103" s="17">
        <v>0</v>
      </c>
      <c r="D103" s="23">
        <f>700000-700000</f>
        <v>0</v>
      </c>
      <c r="E103" s="18">
        <v>0</v>
      </c>
      <c r="F103" s="18">
        <v>0</v>
      </c>
    </row>
    <row r="104" spans="1:8" x14ac:dyDescent="0.3">
      <c r="A104" s="15">
        <v>41053900</v>
      </c>
      <c r="B104" s="16" t="s">
        <v>77</v>
      </c>
      <c r="C104" s="17">
        <f t="shared" si="18"/>
        <v>276026</v>
      </c>
      <c r="D104" s="23">
        <f>87686+315000-285000+158340</f>
        <v>276026</v>
      </c>
      <c r="E104" s="18"/>
      <c r="F104" s="18"/>
      <c r="H104" s="166"/>
    </row>
    <row r="105" spans="1:8" ht="48" hidden="1" x14ac:dyDescent="0.3">
      <c r="A105" s="11">
        <v>41059000</v>
      </c>
      <c r="B105" s="157" t="s">
        <v>355</v>
      </c>
      <c r="C105" s="13">
        <f>C106</f>
        <v>0</v>
      </c>
      <c r="D105" s="23"/>
      <c r="E105" s="22">
        <f>E106</f>
        <v>0</v>
      </c>
      <c r="F105" s="18">
        <f>F106</f>
        <v>0</v>
      </c>
    </row>
    <row r="106" spans="1:8" ht="95.25" hidden="1" x14ac:dyDescent="0.3">
      <c r="A106" s="15">
        <v>41059200</v>
      </c>
      <c r="B106" s="156" t="s">
        <v>356</v>
      </c>
      <c r="C106" s="17">
        <f>E106</f>
        <v>0</v>
      </c>
      <c r="D106" s="23"/>
      <c r="E106" s="18">
        <v>0</v>
      </c>
      <c r="F106" s="18">
        <v>0</v>
      </c>
    </row>
    <row r="107" spans="1:8" x14ac:dyDescent="0.3">
      <c r="A107" s="24" t="s">
        <v>79</v>
      </c>
      <c r="B107" s="21" t="s">
        <v>78</v>
      </c>
      <c r="C107" s="13">
        <f>D107+E107</f>
        <v>87630826</v>
      </c>
      <c r="D107" s="13">
        <f>D83+D84</f>
        <v>87630826</v>
      </c>
      <c r="E107" s="13">
        <f>E84</f>
        <v>0</v>
      </c>
      <c r="F107" s="13">
        <f>F98</f>
        <v>0</v>
      </c>
    </row>
    <row r="109" spans="1:8" s="25" customFormat="1" x14ac:dyDescent="0.3">
      <c r="B109" s="26"/>
      <c r="E109" s="26"/>
    </row>
    <row r="110" spans="1:8" s="25" customFormat="1" x14ac:dyDescent="0.3">
      <c r="B110" s="25" t="s">
        <v>81</v>
      </c>
      <c r="E110" s="25" t="s">
        <v>82</v>
      </c>
    </row>
    <row r="111" spans="1:8" s="25" customFormat="1" ht="11.25" customHeight="1" x14ac:dyDescent="0.3"/>
    <row r="112" spans="1:8" s="25" customFormat="1" x14ac:dyDescent="0.3"/>
    <row r="113" spans="3:3" s="25" customFormat="1" x14ac:dyDescent="0.3"/>
    <row r="114" spans="3:3" s="25" customFormat="1" x14ac:dyDescent="0.3"/>
    <row r="118" spans="3:3" x14ac:dyDescent="0.3">
      <c r="C118" s="150"/>
    </row>
  </sheetData>
  <autoFilter ref="A17:F107">
    <filterColumn colId="2">
      <customFilters>
        <customFilter operator="notEqual" val="0"/>
      </customFilters>
    </filterColumn>
  </autoFilter>
  <mergeCells count="8">
    <mergeCell ref="A11:F11"/>
    <mergeCell ref="A14:A16"/>
    <mergeCell ref="B14:B16"/>
    <mergeCell ref="C14:C16"/>
    <mergeCell ref="D14:D16"/>
    <mergeCell ref="E14:F14"/>
    <mergeCell ref="E15:E16"/>
    <mergeCell ref="F15:F16"/>
  </mergeCells>
  <hyperlinks>
    <hyperlink ref="B101" r:id="rId1" location="w1_13" display="w1_13"/>
  </hyperlinks>
  <printOptions horizontalCentered="1"/>
  <pageMargins left="0.39370078740157483" right="0.19685039370078741" top="0.39370078740157483" bottom="0.39370078740157483" header="0" footer="0"/>
  <pageSetup paperSize="9" scale="67" fitToHeight="50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workbookViewId="0">
      <selection activeCell="D9" sqref="D9"/>
    </sheetView>
  </sheetViews>
  <sheetFormatPr defaultColWidth="9.140625" defaultRowHeight="18.75" x14ac:dyDescent="0.3"/>
  <cols>
    <col min="1" max="1" width="15.28515625" style="7" customWidth="1"/>
    <col min="2" max="2" width="41" style="7" customWidth="1"/>
    <col min="3" max="3" width="18.140625" style="7" customWidth="1"/>
    <col min="4" max="4" width="18.85546875" style="7" customWidth="1"/>
    <col min="5" max="5" width="16.42578125" style="7" bestFit="1" customWidth="1"/>
    <col min="6" max="6" width="20.5703125" style="7" customWidth="1"/>
    <col min="7" max="7" width="9.140625" style="7"/>
    <col min="8" max="8" width="16.42578125" style="7" bestFit="1" customWidth="1"/>
    <col min="9" max="16384" width="9.140625" style="7"/>
  </cols>
  <sheetData>
    <row r="1" spans="1:6" x14ac:dyDescent="0.3">
      <c r="D1" s="7" t="s">
        <v>85</v>
      </c>
    </row>
    <row r="2" spans="1:6" x14ac:dyDescent="0.3">
      <c r="D2" s="7" t="s">
        <v>305</v>
      </c>
    </row>
    <row r="3" spans="1:6" x14ac:dyDescent="0.3">
      <c r="D3" s="7" t="s">
        <v>86</v>
      </c>
    </row>
    <row r="4" spans="1:6" x14ac:dyDescent="0.3">
      <c r="D4" s="7" t="s">
        <v>87</v>
      </c>
    </row>
    <row r="5" spans="1:6" x14ac:dyDescent="0.3">
      <c r="D5" s="7" t="s">
        <v>477</v>
      </c>
    </row>
    <row r="6" spans="1:6" x14ac:dyDescent="0.3">
      <c r="D6" s="7" t="s">
        <v>479</v>
      </c>
    </row>
    <row r="7" spans="1:6" x14ac:dyDescent="0.3">
      <c r="D7" s="7" t="s">
        <v>86</v>
      </c>
    </row>
    <row r="8" spans="1:6" x14ac:dyDescent="0.3">
      <c r="D8" s="7" t="s">
        <v>87</v>
      </c>
    </row>
    <row r="9" spans="1:6" x14ac:dyDescent="0.3">
      <c r="D9" s="7" t="s">
        <v>513</v>
      </c>
    </row>
    <row r="11" spans="1:6" ht="48" customHeight="1" x14ac:dyDescent="0.3">
      <c r="A11" s="222" t="s">
        <v>438</v>
      </c>
      <c r="B11" s="216"/>
      <c r="C11" s="216"/>
      <c r="D11" s="216"/>
      <c r="E11" s="216"/>
      <c r="F11" s="216"/>
    </row>
    <row r="12" spans="1:6" ht="25.5" customHeight="1" x14ac:dyDescent="0.3">
      <c r="A12" s="27" t="s">
        <v>89</v>
      </c>
      <c r="B12" s="83"/>
      <c r="C12" s="83"/>
      <c r="D12" s="83"/>
      <c r="E12" s="83"/>
      <c r="F12" s="83"/>
    </row>
    <row r="13" spans="1:6" x14ac:dyDescent="0.3">
      <c r="A13" s="7" t="s">
        <v>1</v>
      </c>
      <c r="F13" s="8" t="s">
        <v>2</v>
      </c>
    </row>
    <row r="14" spans="1:6" x14ac:dyDescent="0.3">
      <c r="A14" s="217" t="s">
        <v>3</v>
      </c>
      <c r="B14" s="217" t="s">
        <v>312</v>
      </c>
      <c r="C14" s="218" t="s">
        <v>5</v>
      </c>
      <c r="D14" s="217" t="s">
        <v>6</v>
      </c>
      <c r="E14" s="217" t="s">
        <v>7</v>
      </c>
      <c r="F14" s="217"/>
    </row>
    <row r="15" spans="1:6" x14ac:dyDescent="0.3">
      <c r="A15" s="217"/>
      <c r="B15" s="217"/>
      <c r="C15" s="217"/>
      <c r="D15" s="217"/>
      <c r="E15" s="217" t="s">
        <v>8</v>
      </c>
      <c r="F15" s="217" t="s">
        <v>9</v>
      </c>
    </row>
    <row r="16" spans="1:6" x14ac:dyDescent="0.3">
      <c r="A16" s="217"/>
      <c r="B16" s="217"/>
      <c r="C16" s="217"/>
      <c r="D16" s="217"/>
      <c r="E16" s="217"/>
      <c r="F16" s="217"/>
    </row>
    <row r="17" spans="1:8" x14ac:dyDescent="0.3">
      <c r="A17" s="84">
        <v>1</v>
      </c>
      <c r="B17" s="84">
        <v>2</v>
      </c>
      <c r="C17" s="85">
        <v>3</v>
      </c>
      <c r="D17" s="84">
        <v>4</v>
      </c>
      <c r="E17" s="84">
        <v>5</v>
      </c>
      <c r="F17" s="84">
        <v>6</v>
      </c>
    </row>
    <row r="18" spans="1:8" ht="21" customHeight="1" x14ac:dyDescent="0.3">
      <c r="A18" s="219" t="s">
        <v>313</v>
      </c>
      <c r="B18" s="220"/>
      <c r="C18" s="220"/>
      <c r="D18" s="220"/>
      <c r="E18" s="220"/>
      <c r="F18" s="221"/>
    </row>
    <row r="19" spans="1:8" x14ac:dyDescent="0.3">
      <c r="A19" s="11">
        <v>200000</v>
      </c>
      <c r="B19" s="12" t="s">
        <v>314</v>
      </c>
      <c r="C19" s="13">
        <f t="shared" ref="C19:C24" si="0">D19+E19</f>
        <v>15307899.41</v>
      </c>
      <c r="D19" s="14">
        <f>SUM(D20)</f>
        <v>15307899.41</v>
      </c>
      <c r="E19" s="14">
        <f t="shared" ref="E19:F19" si="1">SUM(E20)</f>
        <v>0</v>
      </c>
      <c r="F19" s="14">
        <f t="shared" si="1"/>
        <v>0</v>
      </c>
    </row>
    <row r="20" spans="1:8" ht="56.25" x14ac:dyDescent="0.3">
      <c r="A20" s="11">
        <v>208000</v>
      </c>
      <c r="B20" s="12" t="s">
        <v>315</v>
      </c>
      <c r="C20" s="13">
        <f t="shared" si="0"/>
        <v>15307899.41</v>
      </c>
      <c r="D20" s="14">
        <f>SUM(D21-D22+D23)</f>
        <v>15307899.41</v>
      </c>
      <c r="E20" s="14">
        <f t="shared" ref="E20:F20" si="2">SUM(E21-E22+E23)</f>
        <v>0</v>
      </c>
      <c r="F20" s="14">
        <f t="shared" si="2"/>
        <v>0</v>
      </c>
      <c r="H20" s="150"/>
    </row>
    <row r="21" spans="1:8" x14ac:dyDescent="0.3">
      <c r="A21" s="15">
        <v>208100</v>
      </c>
      <c r="B21" s="16" t="s">
        <v>316</v>
      </c>
      <c r="C21" s="17">
        <f>D21+E21</f>
        <v>24486024.050000001</v>
      </c>
      <c r="D21" s="18">
        <f>22620517.54+10000</f>
        <v>22630517.539999999</v>
      </c>
      <c r="E21" s="18">
        <v>1855506.51</v>
      </c>
      <c r="F21" s="18"/>
    </row>
    <row r="22" spans="1:8" x14ac:dyDescent="0.3">
      <c r="A22" s="15">
        <v>208200</v>
      </c>
      <c r="B22" s="16" t="s">
        <v>317</v>
      </c>
      <c r="C22" s="17">
        <f>D22+E22</f>
        <v>9178124.6399999987</v>
      </c>
      <c r="D22" s="150">
        <f>22620517.54-2878304.55-42118.1-21185.45-35000-317000-85556.31-450000+10000-641418-2696800-2374917-4799900-400000-165700-400000</f>
        <v>7322618.129999999</v>
      </c>
      <c r="E22" s="18">
        <v>1855506.51</v>
      </c>
      <c r="F22" s="18"/>
      <c r="H22" s="150"/>
    </row>
    <row r="23" spans="1:8" ht="75" x14ac:dyDescent="0.3">
      <c r="A23" s="15">
        <v>208400</v>
      </c>
      <c r="B23" s="16" t="s">
        <v>318</v>
      </c>
      <c r="C23" s="17">
        <f t="shared" si="0"/>
        <v>0</v>
      </c>
      <c r="D23" s="18">
        <v>0</v>
      </c>
      <c r="E23" s="18">
        <f>-SUM(D23)</f>
        <v>0</v>
      </c>
      <c r="F23" s="18">
        <f>SUM(E23)</f>
        <v>0</v>
      </c>
    </row>
    <row r="24" spans="1:8" x14ac:dyDescent="0.3">
      <c r="A24" s="24" t="s">
        <v>79</v>
      </c>
      <c r="B24" s="21" t="s">
        <v>319</v>
      </c>
      <c r="C24" s="13">
        <f t="shared" si="0"/>
        <v>15307899.41</v>
      </c>
      <c r="D24" s="13">
        <f>SUM(D19)</f>
        <v>15307899.41</v>
      </c>
      <c r="E24" s="13">
        <f t="shared" ref="E24:F24" si="3">SUM(E19)</f>
        <v>0</v>
      </c>
      <c r="F24" s="13">
        <f t="shared" si="3"/>
        <v>0</v>
      </c>
    </row>
    <row r="25" spans="1:8" ht="21" customHeight="1" x14ac:dyDescent="0.3">
      <c r="A25" s="219" t="s">
        <v>320</v>
      </c>
      <c r="B25" s="220"/>
      <c r="C25" s="220"/>
      <c r="D25" s="220"/>
      <c r="E25" s="220"/>
      <c r="F25" s="221"/>
    </row>
    <row r="26" spans="1:8" ht="37.5" x14ac:dyDescent="0.3">
      <c r="A26" s="11">
        <v>600000</v>
      </c>
      <c r="B26" s="12" t="s">
        <v>321</v>
      </c>
      <c r="C26" s="13">
        <f t="shared" ref="C26:C31" si="4">D26+E26</f>
        <v>15307899.41</v>
      </c>
      <c r="D26" s="14">
        <f>SUM(D27)</f>
        <v>15307899.41</v>
      </c>
      <c r="E26" s="14">
        <f t="shared" ref="E26:F26" si="5">SUM(E27)</f>
        <v>0</v>
      </c>
      <c r="F26" s="14">
        <f t="shared" si="5"/>
        <v>0</v>
      </c>
    </row>
    <row r="27" spans="1:8" ht="37.5" x14ac:dyDescent="0.3">
      <c r="A27" s="11">
        <v>602000</v>
      </c>
      <c r="B27" s="12" t="s">
        <v>322</v>
      </c>
      <c r="C27" s="13">
        <f t="shared" si="4"/>
        <v>15307899.41</v>
      </c>
      <c r="D27" s="14">
        <f>SUM(D28-D29+D30)</f>
        <v>15307899.41</v>
      </c>
      <c r="E27" s="14">
        <f t="shared" ref="E27:F27" si="6">SUM(E28-E29+E30)</f>
        <v>0</v>
      </c>
      <c r="F27" s="14">
        <f t="shared" si="6"/>
        <v>0</v>
      </c>
    </row>
    <row r="28" spans="1:8" x14ac:dyDescent="0.3">
      <c r="A28" s="15">
        <v>602100</v>
      </c>
      <c r="B28" s="16" t="s">
        <v>316</v>
      </c>
      <c r="C28" s="17">
        <f t="shared" si="4"/>
        <v>24486024.050000001</v>
      </c>
      <c r="D28" s="18">
        <f>SUM(D21)</f>
        <v>22630517.539999999</v>
      </c>
      <c r="E28" s="18">
        <f t="shared" ref="E28:F28" si="7">SUM(E21)</f>
        <v>1855506.51</v>
      </c>
      <c r="F28" s="18">
        <f t="shared" si="7"/>
        <v>0</v>
      </c>
    </row>
    <row r="29" spans="1:8" x14ac:dyDescent="0.3">
      <c r="A29" s="15">
        <v>602200</v>
      </c>
      <c r="B29" s="16" t="s">
        <v>317</v>
      </c>
      <c r="C29" s="17">
        <f t="shared" si="4"/>
        <v>9178124.6399999987</v>
      </c>
      <c r="D29" s="18">
        <f>19742212.99-42118.1-21185.45-35000-317000-85556.31-450000+10000-641418-2696800-2374917-4799900-400000-165700-400000</f>
        <v>7322618.129999999</v>
      </c>
      <c r="E29" s="18">
        <f t="shared" ref="E29:F29" si="8">SUM(E22)</f>
        <v>1855506.51</v>
      </c>
      <c r="F29" s="18">
        <f t="shared" si="8"/>
        <v>0</v>
      </c>
    </row>
    <row r="30" spans="1:8" ht="75" x14ac:dyDescent="0.3">
      <c r="A30" s="15">
        <v>602400</v>
      </c>
      <c r="B30" s="16" t="s">
        <v>318</v>
      </c>
      <c r="C30" s="17">
        <f t="shared" si="4"/>
        <v>0</v>
      </c>
      <c r="D30" s="18">
        <f t="shared" ref="D30:F30" si="9">SUM(D23)</f>
        <v>0</v>
      </c>
      <c r="E30" s="18">
        <f t="shared" si="9"/>
        <v>0</v>
      </c>
      <c r="F30" s="18">
        <f t="shared" si="9"/>
        <v>0</v>
      </c>
    </row>
    <row r="31" spans="1:8" x14ac:dyDescent="0.3">
      <c r="A31" s="24" t="s">
        <v>79</v>
      </c>
      <c r="B31" s="21" t="s">
        <v>319</v>
      </c>
      <c r="C31" s="13">
        <f t="shared" si="4"/>
        <v>15307899.41</v>
      </c>
      <c r="D31" s="13">
        <f>SUM(D26)</f>
        <v>15307899.41</v>
      </c>
      <c r="E31" s="13">
        <f t="shared" ref="E31:F31" si="10">SUM(E26)</f>
        <v>0</v>
      </c>
      <c r="F31" s="13">
        <f t="shared" si="10"/>
        <v>0</v>
      </c>
    </row>
    <row r="34" spans="2:5" x14ac:dyDescent="0.3">
      <c r="B34" s="7" t="s">
        <v>339</v>
      </c>
      <c r="E34" s="7" t="s">
        <v>82</v>
      </c>
    </row>
    <row r="35" spans="2:5" x14ac:dyDescent="0.3">
      <c r="B35" s="26"/>
      <c r="E35" s="26"/>
    </row>
    <row r="38" spans="2:5" x14ac:dyDescent="0.3">
      <c r="B38" s="26"/>
      <c r="E38" s="26"/>
    </row>
    <row r="39" spans="2:5" x14ac:dyDescent="0.3">
      <c r="B39" s="26"/>
      <c r="E39" s="26"/>
    </row>
  </sheetData>
  <mergeCells count="10">
    <mergeCell ref="A18:F18"/>
    <mergeCell ref="A25:F25"/>
    <mergeCell ref="A11:F11"/>
    <mergeCell ref="A14:A16"/>
    <mergeCell ref="B14:B16"/>
    <mergeCell ref="C14:C16"/>
    <mergeCell ref="D14:D16"/>
    <mergeCell ref="E14:F14"/>
    <mergeCell ref="E15:E16"/>
    <mergeCell ref="F15:F16"/>
  </mergeCells>
  <printOptions horizontalCentered="1"/>
  <pageMargins left="0.78740157480314965" right="0.39370078740157483" top="0.39370078740157483" bottom="0.39370078740157483" header="0" footer="0"/>
  <pageSetup paperSize="9" scale="77" fitToHeight="50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P114"/>
  <sheetViews>
    <sheetView topLeftCell="C1" zoomScale="70" zoomScaleNormal="70" workbookViewId="0">
      <selection activeCell="A10" sqref="A10:P10"/>
    </sheetView>
  </sheetViews>
  <sheetFormatPr defaultColWidth="9.140625" defaultRowHeight="18.75" x14ac:dyDescent="0.3"/>
  <cols>
    <col min="1" max="1" width="17" style="7" customWidth="1"/>
    <col min="2" max="2" width="17.5703125" style="7" customWidth="1"/>
    <col min="3" max="3" width="19.28515625" style="7" customWidth="1"/>
    <col min="4" max="4" width="58.85546875" style="7" customWidth="1"/>
    <col min="5" max="5" width="19.42578125" style="7" customWidth="1"/>
    <col min="6" max="6" width="20.140625" style="7" customWidth="1"/>
    <col min="7" max="7" width="18.5703125" style="7" customWidth="1"/>
    <col min="8" max="8" width="16.85546875" style="7" customWidth="1"/>
    <col min="9" max="9" width="13.7109375" style="7" customWidth="1"/>
    <col min="10" max="10" width="17.28515625" style="7" customWidth="1"/>
    <col min="11" max="11" width="18.7109375" style="7" customWidth="1"/>
    <col min="12" max="12" width="16.42578125" style="7" customWidth="1"/>
    <col min="13" max="13" width="13.7109375" style="7" customWidth="1"/>
    <col min="14" max="14" width="15.42578125" style="7" customWidth="1"/>
    <col min="15" max="15" width="17.42578125" style="7" customWidth="1"/>
    <col min="16" max="16" width="19.7109375" style="7" customWidth="1"/>
    <col min="17" max="16384" width="9.140625" style="7"/>
  </cols>
  <sheetData>
    <row r="1" spans="1:16" ht="14.25" customHeight="1" x14ac:dyDescent="0.3">
      <c r="M1" s="7" t="s">
        <v>327</v>
      </c>
    </row>
    <row r="2" spans="1:16" ht="12.75" customHeight="1" x14ac:dyDescent="0.3">
      <c r="M2" s="7" t="s">
        <v>305</v>
      </c>
    </row>
    <row r="3" spans="1:16" ht="15.75" customHeight="1" x14ac:dyDescent="0.3">
      <c r="M3" s="7" t="s">
        <v>86</v>
      </c>
    </row>
    <row r="4" spans="1:16" ht="16.5" customHeight="1" x14ac:dyDescent="0.3">
      <c r="M4" s="7" t="s">
        <v>87</v>
      </c>
    </row>
    <row r="5" spans="1:16" ht="15" customHeight="1" x14ac:dyDescent="0.3">
      <c r="M5" s="7" t="s">
        <v>478</v>
      </c>
    </row>
    <row r="6" spans="1:16" ht="16.5" customHeight="1" x14ac:dyDescent="0.3">
      <c r="M6" s="7" t="s">
        <v>479</v>
      </c>
    </row>
    <row r="7" spans="1:16" ht="16.5" customHeight="1" x14ac:dyDescent="0.3">
      <c r="M7" s="7" t="s">
        <v>86</v>
      </c>
    </row>
    <row r="8" spans="1:16" ht="14.25" customHeight="1" x14ac:dyDescent="0.3">
      <c r="M8" s="7" t="s">
        <v>87</v>
      </c>
    </row>
    <row r="9" spans="1:16" ht="19.899999999999999" customHeight="1" x14ac:dyDescent="0.3">
      <c r="M9" s="7" t="s">
        <v>514</v>
      </c>
    </row>
    <row r="10" spans="1:16" x14ac:dyDescent="0.3">
      <c r="A10" s="215" t="s">
        <v>88</v>
      </c>
      <c r="B10" s="216"/>
      <c r="C10" s="216"/>
      <c r="D10" s="216"/>
      <c r="E10" s="216"/>
      <c r="F10" s="216"/>
      <c r="G10" s="216"/>
      <c r="H10" s="216"/>
      <c r="I10" s="216"/>
      <c r="J10" s="216"/>
      <c r="K10" s="216"/>
      <c r="L10" s="216"/>
      <c r="M10" s="216"/>
      <c r="N10" s="216"/>
      <c r="O10" s="216"/>
      <c r="P10" s="216"/>
    </row>
    <row r="11" spans="1:16" ht="13.5" customHeight="1" x14ac:dyDescent="0.3">
      <c r="A11" s="215" t="s">
        <v>439</v>
      </c>
      <c r="B11" s="216"/>
      <c r="C11" s="216"/>
      <c r="D11" s="216"/>
      <c r="E11" s="216"/>
      <c r="F11" s="216"/>
      <c r="G11" s="216"/>
      <c r="H11" s="216"/>
      <c r="I11" s="216"/>
      <c r="J11" s="216"/>
      <c r="K11" s="216"/>
      <c r="L11" s="216"/>
      <c r="M11" s="216"/>
      <c r="N11" s="216"/>
      <c r="O11" s="216"/>
      <c r="P11" s="216"/>
    </row>
    <row r="12" spans="1:16" ht="15" customHeight="1" x14ac:dyDescent="0.3">
      <c r="A12" s="27" t="s">
        <v>89</v>
      </c>
      <c r="B12" s="28"/>
      <c r="C12" s="28"/>
      <c r="D12" s="28"/>
      <c r="E12" s="28"/>
      <c r="F12" s="28"/>
      <c r="G12" s="28"/>
      <c r="H12" s="28"/>
      <c r="I12" s="28"/>
      <c r="J12" s="28"/>
      <c r="K12" s="28"/>
      <c r="L12" s="28"/>
      <c r="M12" s="28"/>
      <c r="N12" s="28"/>
      <c r="O12" s="28"/>
      <c r="P12" s="28"/>
    </row>
    <row r="13" spans="1:16" ht="14.25" customHeight="1" x14ac:dyDescent="0.3">
      <c r="A13" s="7" t="s">
        <v>1</v>
      </c>
      <c r="P13" s="8" t="s">
        <v>90</v>
      </c>
    </row>
    <row r="14" spans="1:16" x14ac:dyDescent="0.3">
      <c r="A14" s="217" t="s">
        <v>91</v>
      </c>
      <c r="B14" s="217" t="s">
        <v>92</v>
      </c>
      <c r="C14" s="217" t="s">
        <v>93</v>
      </c>
      <c r="D14" s="217" t="s">
        <v>94</v>
      </c>
      <c r="E14" s="217" t="s">
        <v>6</v>
      </c>
      <c r="F14" s="217"/>
      <c r="G14" s="217"/>
      <c r="H14" s="217"/>
      <c r="I14" s="217"/>
      <c r="J14" s="217" t="s">
        <v>7</v>
      </c>
      <c r="K14" s="217"/>
      <c r="L14" s="217"/>
      <c r="M14" s="217"/>
      <c r="N14" s="217"/>
      <c r="O14" s="217"/>
      <c r="P14" s="218" t="s">
        <v>95</v>
      </c>
    </row>
    <row r="15" spans="1:16" x14ac:dyDescent="0.3">
      <c r="A15" s="217"/>
      <c r="B15" s="217"/>
      <c r="C15" s="217"/>
      <c r="D15" s="217"/>
      <c r="E15" s="218" t="s">
        <v>8</v>
      </c>
      <c r="F15" s="217" t="s">
        <v>96</v>
      </c>
      <c r="G15" s="217" t="s">
        <v>97</v>
      </c>
      <c r="H15" s="217"/>
      <c r="I15" s="217" t="s">
        <v>98</v>
      </c>
      <c r="J15" s="218" t="s">
        <v>8</v>
      </c>
      <c r="K15" s="217" t="s">
        <v>9</v>
      </c>
      <c r="L15" s="217" t="s">
        <v>96</v>
      </c>
      <c r="M15" s="217" t="s">
        <v>97</v>
      </c>
      <c r="N15" s="217"/>
      <c r="O15" s="217" t="s">
        <v>98</v>
      </c>
      <c r="P15" s="217"/>
    </row>
    <row r="16" spans="1:16" x14ac:dyDescent="0.3">
      <c r="A16" s="217"/>
      <c r="B16" s="217"/>
      <c r="C16" s="217"/>
      <c r="D16" s="217"/>
      <c r="E16" s="217"/>
      <c r="F16" s="217"/>
      <c r="G16" s="217" t="s">
        <v>99</v>
      </c>
      <c r="H16" s="217" t="s">
        <v>100</v>
      </c>
      <c r="I16" s="217"/>
      <c r="J16" s="217"/>
      <c r="K16" s="217"/>
      <c r="L16" s="217"/>
      <c r="M16" s="217" t="s">
        <v>99</v>
      </c>
      <c r="N16" s="217" t="s">
        <v>100</v>
      </c>
      <c r="O16" s="217"/>
      <c r="P16" s="217"/>
    </row>
    <row r="17" spans="1:16" ht="96.75" customHeight="1" x14ac:dyDescent="0.3">
      <c r="A17" s="217"/>
      <c r="B17" s="217"/>
      <c r="C17" s="217"/>
      <c r="D17" s="217"/>
      <c r="E17" s="217"/>
      <c r="F17" s="217"/>
      <c r="G17" s="217"/>
      <c r="H17" s="217"/>
      <c r="I17" s="217"/>
      <c r="J17" s="217"/>
      <c r="K17" s="217"/>
      <c r="L17" s="217"/>
      <c r="M17" s="217"/>
      <c r="N17" s="217"/>
      <c r="O17" s="217"/>
      <c r="P17" s="217"/>
    </row>
    <row r="18" spans="1:16" x14ac:dyDescent="0.3">
      <c r="A18" s="9">
        <v>1</v>
      </c>
      <c r="B18" s="9">
        <v>2</v>
      </c>
      <c r="C18" s="9">
        <v>3</v>
      </c>
      <c r="D18" s="9">
        <v>4</v>
      </c>
      <c r="E18" s="10">
        <v>5</v>
      </c>
      <c r="F18" s="9">
        <v>6</v>
      </c>
      <c r="G18" s="9">
        <v>7</v>
      </c>
      <c r="H18" s="9">
        <v>8</v>
      </c>
      <c r="I18" s="9">
        <v>9</v>
      </c>
      <c r="J18" s="10">
        <v>10</v>
      </c>
      <c r="K18" s="9">
        <v>11</v>
      </c>
      <c r="L18" s="9">
        <v>12</v>
      </c>
      <c r="M18" s="9">
        <v>13</v>
      </c>
      <c r="N18" s="9">
        <v>14</v>
      </c>
      <c r="O18" s="9">
        <v>15</v>
      </c>
      <c r="P18" s="10">
        <v>16</v>
      </c>
    </row>
    <row r="19" spans="1:16" ht="56.25" x14ac:dyDescent="0.3">
      <c r="A19" s="34">
        <v>5000000</v>
      </c>
      <c r="B19" s="35"/>
      <c r="C19" s="36"/>
      <c r="D19" s="37" t="s">
        <v>396</v>
      </c>
      <c r="E19" s="38">
        <f t="shared" ref="E19:E97" si="0">SUM(F19+I19)</f>
        <v>10380457</v>
      </c>
      <c r="F19" s="39">
        <f>SUM(F20)</f>
        <v>10380457</v>
      </c>
      <c r="G19" s="39">
        <f t="shared" ref="G19:I20" si="1">SUM(G20)</f>
        <v>7574309</v>
      </c>
      <c r="H19" s="39">
        <f t="shared" si="1"/>
        <v>14800</v>
      </c>
      <c r="I19" s="39">
        <f t="shared" si="1"/>
        <v>0</v>
      </c>
      <c r="J19" s="38">
        <f t="shared" ref="J19:J90" si="2">SUM(L19+O19)</f>
        <v>0</v>
      </c>
      <c r="K19" s="39">
        <f t="shared" ref="K19:O20" si="3">SUM(K20)</f>
        <v>0</v>
      </c>
      <c r="L19" s="39">
        <f t="shared" si="3"/>
        <v>0</v>
      </c>
      <c r="M19" s="39">
        <f t="shared" si="3"/>
        <v>0</v>
      </c>
      <c r="N19" s="39">
        <f t="shared" si="3"/>
        <v>0</v>
      </c>
      <c r="O19" s="39">
        <f t="shared" si="3"/>
        <v>0</v>
      </c>
      <c r="P19" s="38">
        <f>E19+J19</f>
        <v>10380457</v>
      </c>
    </row>
    <row r="20" spans="1:16" x14ac:dyDescent="0.3">
      <c r="A20" s="34">
        <v>5010000</v>
      </c>
      <c r="B20" s="35"/>
      <c r="C20" s="36"/>
      <c r="D20" s="37" t="s">
        <v>101</v>
      </c>
      <c r="E20" s="38">
        <f t="shared" si="0"/>
        <v>10380457</v>
      </c>
      <c r="F20" s="39">
        <f>SUM(F21:F22)</f>
        <v>10380457</v>
      </c>
      <c r="G20" s="39">
        <f t="shared" si="1"/>
        <v>7574309</v>
      </c>
      <c r="H20" s="39">
        <f>SUM(H21+H22)</f>
        <v>14800</v>
      </c>
      <c r="I20" s="39">
        <f t="shared" si="1"/>
        <v>0</v>
      </c>
      <c r="J20" s="38">
        <f t="shared" si="2"/>
        <v>0</v>
      </c>
      <c r="K20" s="39">
        <f t="shared" si="3"/>
        <v>0</v>
      </c>
      <c r="L20" s="39">
        <f t="shared" si="3"/>
        <v>0</v>
      </c>
      <c r="M20" s="39">
        <f t="shared" si="3"/>
        <v>0</v>
      </c>
      <c r="N20" s="39">
        <f t="shared" si="3"/>
        <v>0</v>
      </c>
      <c r="O20" s="39">
        <f t="shared" si="3"/>
        <v>0</v>
      </c>
      <c r="P20" s="38">
        <f t="shared" ref="P20:P22" si="4">E20+J20</f>
        <v>10380457</v>
      </c>
    </row>
    <row r="21" spans="1:16" s="70" customFormat="1" ht="56.25" x14ac:dyDescent="0.3">
      <c r="A21" s="89">
        <v>5010160</v>
      </c>
      <c r="B21" s="89" t="s">
        <v>135</v>
      </c>
      <c r="C21" s="90" t="s">
        <v>102</v>
      </c>
      <c r="D21" s="91" t="s">
        <v>103</v>
      </c>
      <c r="E21" s="32">
        <f t="shared" si="0"/>
        <v>9980457</v>
      </c>
      <c r="F21" s="92">
        <f>7574309+1666348+200000+20000+7500+450+6500+350+7000+430000+30000+38000</f>
        <v>9980457</v>
      </c>
      <c r="G21" s="92">
        <v>7574309</v>
      </c>
      <c r="H21" s="92">
        <f>7500+450+6500+350</f>
        <v>14800</v>
      </c>
      <c r="I21" s="92"/>
      <c r="J21" s="32">
        <f t="shared" si="2"/>
        <v>0</v>
      </c>
      <c r="K21" s="92">
        <f>SUM(O21)</f>
        <v>0</v>
      </c>
      <c r="L21" s="92"/>
      <c r="M21" s="92"/>
      <c r="N21" s="92"/>
      <c r="O21" s="92">
        <v>0</v>
      </c>
      <c r="P21" s="32">
        <f t="shared" si="4"/>
        <v>9980457</v>
      </c>
    </row>
    <row r="22" spans="1:16" s="70" customFormat="1" ht="37.5" x14ac:dyDescent="0.3">
      <c r="A22" s="89">
        <v>5018110</v>
      </c>
      <c r="B22" s="29" t="s">
        <v>125</v>
      </c>
      <c r="C22" s="30" t="s">
        <v>126</v>
      </c>
      <c r="D22" s="31" t="s">
        <v>127</v>
      </c>
      <c r="E22" s="32">
        <f t="shared" si="0"/>
        <v>400000</v>
      </c>
      <c r="F22" s="92">
        <v>400000</v>
      </c>
      <c r="G22" s="92"/>
      <c r="H22" s="92">
        <v>0</v>
      </c>
      <c r="I22" s="92"/>
      <c r="J22" s="32"/>
      <c r="K22" s="92"/>
      <c r="L22" s="92"/>
      <c r="M22" s="92"/>
      <c r="N22" s="92"/>
      <c r="O22" s="92"/>
      <c r="P22" s="32">
        <f t="shared" si="4"/>
        <v>400000</v>
      </c>
    </row>
    <row r="23" spans="1:16" ht="37.5" x14ac:dyDescent="0.3">
      <c r="A23" s="34" t="s">
        <v>104</v>
      </c>
      <c r="B23" s="35"/>
      <c r="C23" s="36"/>
      <c r="D23" s="37" t="s">
        <v>395</v>
      </c>
      <c r="E23" s="38">
        <f t="shared" si="0"/>
        <v>24745265.550000001</v>
      </c>
      <c r="F23" s="39">
        <f>F24</f>
        <v>24745265.550000001</v>
      </c>
      <c r="G23" s="39">
        <f t="shared" ref="G23:I23" si="5">G24</f>
        <v>17922904.100000001</v>
      </c>
      <c r="H23" s="39">
        <f t="shared" si="5"/>
        <v>600000</v>
      </c>
      <c r="I23" s="39">
        <f t="shared" si="5"/>
        <v>0</v>
      </c>
      <c r="J23" s="38">
        <f t="shared" si="2"/>
        <v>0</v>
      </c>
      <c r="K23" s="39">
        <f t="shared" ref="K23:O23" si="6">K24</f>
        <v>0</v>
      </c>
      <c r="L23" s="39">
        <f t="shared" si="6"/>
        <v>0</v>
      </c>
      <c r="M23" s="39">
        <f t="shared" si="6"/>
        <v>0</v>
      </c>
      <c r="N23" s="39">
        <f t="shared" si="6"/>
        <v>0</v>
      </c>
      <c r="O23" s="39">
        <f t="shared" si="6"/>
        <v>0</v>
      </c>
      <c r="P23" s="38">
        <f>E23+J23</f>
        <v>24745265.550000001</v>
      </c>
    </row>
    <row r="24" spans="1:16" x14ac:dyDescent="0.3">
      <c r="A24" s="34" t="s">
        <v>105</v>
      </c>
      <c r="B24" s="35"/>
      <c r="C24" s="36"/>
      <c r="D24" s="37" t="s">
        <v>101</v>
      </c>
      <c r="E24" s="38">
        <f t="shared" si="0"/>
        <v>24745265.550000001</v>
      </c>
      <c r="F24" s="39">
        <f>SUM(F25:F34)</f>
        <v>24745265.550000001</v>
      </c>
      <c r="G24" s="39">
        <f>SUM(G25:G33)</f>
        <v>17922904.100000001</v>
      </c>
      <c r="H24" s="39">
        <f>SUM(H25:H33)</f>
        <v>600000</v>
      </c>
      <c r="I24" s="39">
        <f t="shared" ref="I24" si="7">SUM(I25:I32)</f>
        <v>0</v>
      </c>
      <c r="J24" s="38">
        <f t="shared" si="2"/>
        <v>0</v>
      </c>
      <c r="K24" s="39">
        <f t="shared" ref="K24:O24" si="8">SUM(K25:K32)</f>
        <v>0</v>
      </c>
      <c r="L24" s="39">
        <f t="shared" si="8"/>
        <v>0</v>
      </c>
      <c r="M24" s="39">
        <f t="shared" si="8"/>
        <v>0</v>
      </c>
      <c r="N24" s="39">
        <f t="shared" si="8"/>
        <v>0</v>
      </c>
      <c r="O24" s="39">
        <f t="shared" si="8"/>
        <v>0</v>
      </c>
      <c r="P24" s="38">
        <f t="shared" ref="P24:P101" si="9">E24+J24</f>
        <v>24745265.550000001</v>
      </c>
    </row>
    <row r="25" spans="1:16" ht="98.45" customHeight="1" x14ac:dyDescent="0.3">
      <c r="A25" s="29" t="s">
        <v>106</v>
      </c>
      <c r="B25" s="29" t="s">
        <v>107</v>
      </c>
      <c r="C25" s="30" t="s">
        <v>102</v>
      </c>
      <c r="D25" s="31" t="s">
        <v>108</v>
      </c>
      <c r="E25" s="32">
        <f t="shared" si="0"/>
        <v>22452151</v>
      </c>
      <c r="F25" s="33">
        <f>17185598+3557656+480597+579900+30000+600000+8700+9700</f>
        <v>22452151</v>
      </c>
      <c r="G25" s="33">
        <v>17185598</v>
      </c>
      <c r="H25" s="33">
        <v>600000</v>
      </c>
      <c r="I25" s="33"/>
      <c r="J25" s="32">
        <f t="shared" si="2"/>
        <v>0</v>
      </c>
      <c r="K25" s="33">
        <f t="shared" ref="K25:K32" si="10">SUM(O25)</f>
        <v>0</v>
      </c>
      <c r="L25" s="33"/>
      <c r="M25" s="33"/>
      <c r="N25" s="33"/>
      <c r="O25" s="33"/>
      <c r="P25" s="32">
        <f t="shared" si="9"/>
        <v>22452151</v>
      </c>
    </row>
    <row r="26" spans="1:16" hidden="1" x14ac:dyDescent="0.3">
      <c r="A26" s="29" t="s">
        <v>109</v>
      </c>
      <c r="B26" s="29" t="s">
        <v>110</v>
      </c>
      <c r="C26" s="30" t="s">
        <v>111</v>
      </c>
      <c r="D26" s="31" t="s">
        <v>112</v>
      </c>
      <c r="E26" s="32">
        <f t="shared" si="0"/>
        <v>0</v>
      </c>
      <c r="F26" s="33">
        <v>0</v>
      </c>
      <c r="G26" s="33"/>
      <c r="H26" s="33"/>
      <c r="I26" s="33"/>
      <c r="J26" s="32">
        <f t="shared" si="2"/>
        <v>0</v>
      </c>
      <c r="K26" s="33">
        <f t="shared" si="10"/>
        <v>0</v>
      </c>
      <c r="L26" s="33"/>
      <c r="M26" s="33"/>
      <c r="N26" s="33"/>
      <c r="O26" s="33"/>
      <c r="P26" s="32">
        <f t="shared" si="9"/>
        <v>0</v>
      </c>
    </row>
    <row r="27" spans="1:16" s="190" customFormat="1" ht="56.25" hidden="1" x14ac:dyDescent="0.3">
      <c r="A27" s="185" t="s">
        <v>113</v>
      </c>
      <c r="B27" s="185" t="s">
        <v>114</v>
      </c>
      <c r="C27" s="186" t="s">
        <v>115</v>
      </c>
      <c r="D27" s="187" t="s">
        <v>116</v>
      </c>
      <c r="E27" s="188">
        <f t="shared" si="0"/>
        <v>0</v>
      </c>
      <c r="F27" s="189"/>
      <c r="G27" s="189"/>
      <c r="H27" s="189"/>
      <c r="I27" s="189"/>
      <c r="J27" s="188">
        <f t="shared" si="2"/>
        <v>0</v>
      </c>
      <c r="K27" s="189">
        <f t="shared" si="10"/>
        <v>0</v>
      </c>
      <c r="L27" s="189"/>
      <c r="M27" s="189"/>
      <c r="N27" s="189"/>
      <c r="O27" s="189"/>
      <c r="P27" s="188">
        <f t="shared" si="9"/>
        <v>0</v>
      </c>
    </row>
    <row r="28" spans="1:16" s="190" customFormat="1" ht="37.5" hidden="1" x14ac:dyDescent="0.3">
      <c r="A28" s="185" t="s">
        <v>117</v>
      </c>
      <c r="B28" s="185" t="s">
        <v>118</v>
      </c>
      <c r="C28" s="186" t="s">
        <v>119</v>
      </c>
      <c r="D28" s="187" t="s">
        <v>120</v>
      </c>
      <c r="E28" s="188">
        <f t="shared" si="0"/>
        <v>0</v>
      </c>
      <c r="F28" s="189"/>
      <c r="G28" s="189"/>
      <c r="H28" s="189"/>
      <c r="I28" s="189"/>
      <c r="J28" s="188">
        <f t="shared" si="2"/>
        <v>0</v>
      </c>
      <c r="K28" s="189">
        <f t="shared" si="10"/>
        <v>0</v>
      </c>
      <c r="L28" s="189"/>
      <c r="M28" s="189"/>
      <c r="N28" s="189"/>
      <c r="O28" s="189"/>
      <c r="P28" s="188">
        <f t="shared" si="9"/>
        <v>0</v>
      </c>
    </row>
    <row r="29" spans="1:16" ht="75" hidden="1" x14ac:dyDescent="0.3">
      <c r="A29" s="29" t="s">
        <v>413</v>
      </c>
      <c r="B29" s="29" t="s">
        <v>414</v>
      </c>
      <c r="C29" s="30" t="s">
        <v>416</v>
      </c>
      <c r="D29" s="31" t="s">
        <v>415</v>
      </c>
      <c r="E29" s="32">
        <f t="shared" si="0"/>
        <v>0</v>
      </c>
      <c r="F29" s="33"/>
      <c r="G29" s="33"/>
      <c r="H29" s="33"/>
      <c r="I29" s="33"/>
      <c r="J29" s="32">
        <f t="shared" si="2"/>
        <v>0</v>
      </c>
      <c r="K29" s="33">
        <f t="shared" si="10"/>
        <v>0</v>
      </c>
      <c r="L29" s="33">
        <v>0</v>
      </c>
      <c r="M29" s="33"/>
      <c r="N29" s="33"/>
      <c r="O29" s="33"/>
      <c r="P29" s="32">
        <f t="shared" si="9"/>
        <v>0</v>
      </c>
    </row>
    <row r="30" spans="1:16" customFormat="1" ht="37.5" x14ac:dyDescent="0.2">
      <c r="A30" s="29" t="s">
        <v>124</v>
      </c>
      <c r="B30" s="29" t="s">
        <v>125</v>
      </c>
      <c r="C30" s="30" t="s">
        <v>126</v>
      </c>
      <c r="D30" s="31" t="s">
        <v>127</v>
      </c>
      <c r="E30" s="32">
        <f t="shared" si="0"/>
        <v>420000</v>
      </c>
      <c r="F30" s="33">
        <v>420000</v>
      </c>
      <c r="G30" s="33"/>
      <c r="H30" s="33"/>
      <c r="I30" s="33"/>
      <c r="J30" s="32">
        <f t="shared" si="2"/>
        <v>0</v>
      </c>
      <c r="K30" s="33">
        <f t="shared" si="10"/>
        <v>0</v>
      </c>
      <c r="L30" s="33"/>
      <c r="M30" s="33"/>
      <c r="N30" s="33"/>
      <c r="O30" s="33">
        <v>0</v>
      </c>
      <c r="P30" s="32">
        <f t="shared" si="9"/>
        <v>420000</v>
      </c>
    </row>
    <row r="31" spans="1:16" customFormat="1" ht="93.75" x14ac:dyDescent="0.2">
      <c r="A31" s="29" t="s">
        <v>128</v>
      </c>
      <c r="B31" s="29">
        <v>9800</v>
      </c>
      <c r="C31" s="30" t="s">
        <v>130</v>
      </c>
      <c r="D31" s="31" t="s">
        <v>411</v>
      </c>
      <c r="E31" s="32">
        <f t="shared" si="0"/>
        <v>650000</v>
      </c>
      <c r="F31" s="33">
        <v>650000</v>
      </c>
      <c r="G31" s="33"/>
      <c r="H31" s="33"/>
      <c r="I31" s="33"/>
      <c r="J31" s="32">
        <f t="shared" si="2"/>
        <v>0</v>
      </c>
      <c r="K31" s="33"/>
      <c r="L31" s="33">
        <v>0</v>
      </c>
      <c r="M31" s="33"/>
      <c r="N31" s="33"/>
      <c r="O31" s="33"/>
      <c r="P31" s="32">
        <f t="shared" si="9"/>
        <v>650000</v>
      </c>
    </row>
    <row r="32" spans="1:16" s="93" customFormat="1" x14ac:dyDescent="0.2">
      <c r="A32" s="29" t="s">
        <v>368</v>
      </c>
      <c r="B32" s="29" t="s">
        <v>184</v>
      </c>
      <c r="C32" s="30" t="s">
        <v>185</v>
      </c>
      <c r="D32" s="31" t="s">
        <v>186</v>
      </c>
      <c r="E32" s="32">
        <f t="shared" si="0"/>
        <v>686674.54999999993</v>
      </c>
      <c r="F32" s="92">
        <f>623371+42118.1+21185.45</f>
        <v>686674.54999999993</v>
      </c>
      <c r="G32" s="92">
        <f>493188+42118.1</f>
        <v>535306.1</v>
      </c>
      <c r="H32" s="92">
        <v>0</v>
      </c>
      <c r="I32" s="92"/>
      <c r="J32" s="32">
        <f t="shared" si="2"/>
        <v>0</v>
      </c>
      <c r="K32" s="92">
        <f t="shared" si="10"/>
        <v>0</v>
      </c>
      <c r="L32" s="92"/>
      <c r="M32" s="92"/>
      <c r="N32" s="92"/>
      <c r="O32" s="92">
        <v>0</v>
      </c>
      <c r="P32" s="32">
        <f t="shared" si="9"/>
        <v>686674.54999999993</v>
      </c>
    </row>
    <row r="33" spans="1:16" s="93" customFormat="1" ht="56.25" x14ac:dyDescent="0.2">
      <c r="A33" s="29" t="s">
        <v>369</v>
      </c>
      <c r="B33" s="29" t="s">
        <v>188</v>
      </c>
      <c r="C33" s="30" t="s">
        <v>189</v>
      </c>
      <c r="D33" s="31" t="s">
        <v>190</v>
      </c>
      <c r="E33" s="32">
        <f t="shared" si="0"/>
        <v>246440</v>
      </c>
      <c r="F33" s="92">
        <v>246440</v>
      </c>
      <c r="G33" s="92">
        <v>202000</v>
      </c>
      <c r="H33" s="92">
        <v>0</v>
      </c>
      <c r="I33" s="92"/>
      <c r="J33" s="32"/>
      <c r="K33" s="92"/>
      <c r="L33" s="92"/>
      <c r="M33" s="92"/>
      <c r="N33" s="92"/>
      <c r="O33" s="92"/>
      <c r="P33" s="32">
        <f t="shared" si="9"/>
        <v>246440</v>
      </c>
    </row>
    <row r="34" spans="1:16" s="93" customFormat="1" x14ac:dyDescent="0.2">
      <c r="A34" s="29" t="s">
        <v>370</v>
      </c>
      <c r="B34" s="29" t="s">
        <v>192</v>
      </c>
      <c r="C34" s="30" t="s">
        <v>193</v>
      </c>
      <c r="D34" s="31" t="s">
        <v>194</v>
      </c>
      <c r="E34" s="32">
        <f t="shared" si="0"/>
        <v>290000</v>
      </c>
      <c r="F34" s="92">
        <v>290000</v>
      </c>
      <c r="G34" s="92"/>
      <c r="H34" s="92"/>
      <c r="I34" s="92"/>
      <c r="J34" s="32"/>
      <c r="K34" s="92"/>
      <c r="L34" s="92"/>
      <c r="M34" s="92"/>
      <c r="N34" s="92"/>
      <c r="O34" s="92"/>
      <c r="P34" s="32">
        <f t="shared" si="9"/>
        <v>290000</v>
      </c>
    </row>
    <row r="35" spans="1:16" s="142" customFormat="1" ht="37.5" x14ac:dyDescent="0.3">
      <c r="A35" s="206" t="s">
        <v>132</v>
      </c>
      <c r="B35" s="207"/>
      <c r="C35" s="208"/>
      <c r="D35" s="209" t="s">
        <v>394</v>
      </c>
      <c r="E35" s="210">
        <f t="shared" si="0"/>
        <v>26059008.300000001</v>
      </c>
      <c r="F35" s="210">
        <f>SUM(F36)</f>
        <v>26059008.300000001</v>
      </c>
      <c r="G35" s="210">
        <f t="shared" ref="G35:I35" si="11">SUM(G36)</f>
        <v>20620381.469999995</v>
      </c>
      <c r="H35" s="210">
        <f t="shared" si="11"/>
        <v>295900</v>
      </c>
      <c r="I35" s="210">
        <f t="shared" si="11"/>
        <v>0</v>
      </c>
      <c r="J35" s="210">
        <f t="shared" si="2"/>
        <v>0</v>
      </c>
      <c r="K35" s="210">
        <f t="shared" ref="K35:O35" si="12">SUM(K36)</f>
        <v>0</v>
      </c>
      <c r="L35" s="210">
        <f t="shared" si="12"/>
        <v>0</v>
      </c>
      <c r="M35" s="210">
        <f t="shared" si="12"/>
        <v>0</v>
      </c>
      <c r="N35" s="210">
        <f t="shared" si="12"/>
        <v>0</v>
      </c>
      <c r="O35" s="210">
        <f t="shared" si="12"/>
        <v>0</v>
      </c>
      <c r="P35" s="210">
        <f t="shared" si="9"/>
        <v>26059008.300000001</v>
      </c>
    </row>
    <row r="36" spans="1:16" x14ac:dyDescent="0.3">
      <c r="A36" s="34" t="s">
        <v>133</v>
      </c>
      <c r="B36" s="35"/>
      <c r="C36" s="36"/>
      <c r="D36" s="37"/>
      <c r="E36" s="38">
        <f>SUM(F36+I36)</f>
        <v>26059008.300000001</v>
      </c>
      <c r="F36" s="39">
        <f>SUM(F37:F61)</f>
        <v>26059008.300000001</v>
      </c>
      <c r="G36" s="39">
        <f>SUM(G37:G61)</f>
        <v>20620381.469999995</v>
      </c>
      <c r="H36" s="39">
        <f t="shared" ref="H36:I36" si="13">SUM(H37:H58)</f>
        <v>295900</v>
      </c>
      <c r="I36" s="39">
        <f t="shared" si="13"/>
        <v>0</v>
      </c>
      <c r="J36" s="38">
        <f>SUM(L36+O36)</f>
        <v>0</v>
      </c>
      <c r="K36" s="39">
        <f>SUM(K37:K59)</f>
        <v>0</v>
      </c>
      <c r="L36" s="39">
        <f>SUM(L37:L60)</f>
        <v>0</v>
      </c>
      <c r="M36" s="39">
        <f>SUM(M37:M60)</f>
        <v>0</v>
      </c>
      <c r="N36" s="39">
        <f t="shared" ref="N36" si="14">SUM(N37:N58)</f>
        <v>0</v>
      </c>
      <c r="O36" s="39">
        <f>SUM(O37:O59)</f>
        <v>0</v>
      </c>
      <c r="P36" s="38">
        <f t="shared" si="9"/>
        <v>26059008.300000001</v>
      </c>
    </row>
    <row r="37" spans="1:16" ht="56.25" x14ac:dyDescent="0.3">
      <c r="A37" s="29" t="s">
        <v>134</v>
      </c>
      <c r="B37" s="29" t="s">
        <v>135</v>
      </c>
      <c r="C37" s="30" t="s">
        <v>102</v>
      </c>
      <c r="D37" s="31" t="s">
        <v>103</v>
      </c>
      <c r="E37" s="32">
        <f t="shared" si="0"/>
        <v>4359680.6399999997</v>
      </c>
      <c r="F37" s="33">
        <f>3418625+752097+43860+74000+34939.42+36159.22</f>
        <v>4359680.6399999997</v>
      </c>
      <c r="G37" s="33">
        <v>3418625</v>
      </c>
      <c r="H37" s="33"/>
      <c r="I37" s="33"/>
      <c r="J37" s="32">
        <f t="shared" si="2"/>
        <v>0</v>
      </c>
      <c r="K37" s="33">
        <f t="shared" ref="K37:K58" si="15">SUM(O37)</f>
        <v>0</v>
      </c>
      <c r="L37" s="33"/>
      <c r="M37" s="33"/>
      <c r="N37" s="33"/>
      <c r="O37" s="33"/>
      <c r="P37" s="32">
        <f t="shared" si="9"/>
        <v>4359680.6399999997</v>
      </c>
    </row>
    <row r="38" spans="1:16" x14ac:dyDescent="0.3">
      <c r="A38" s="29" t="s">
        <v>136</v>
      </c>
      <c r="B38" s="29" t="s">
        <v>137</v>
      </c>
      <c r="C38" s="30" t="s">
        <v>138</v>
      </c>
      <c r="D38" s="31" t="s">
        <v>139</v>
      </c>
      <c r="E38" s="32">
        <f t="shared" si="0"/>
        <v>2126903.6800000002</v>
      </c>
      <c r="F38" s="33">
        <f>1356060+298333+102700+303123.34+66687.34</f>
        <v>2126903.6800000002</v>
      </c>
      <c r="G38" s="33">
        <f>1356060+303123.34</f>
        <v>1659183.34</v>
      </c>
      <c r="H38" s="33">
        <v>102700</v>
      </c>
      <c r="I38" s="33"/>
      <c r="J38" s="32">
        <f t="shared" si="2"/>
        <v>0</v>
      </c>
      <c r="K38" s="33">
        <f t="shared" si="15"/>
        <v>0</v>
      </c>
      <c r="L38" s="33"/>
      <c r="M38" s="33"/>
      <c r="N38" s="33"/>
      <c r="O38" s="33"/>
      <c r="P38" s="32">
        <f t="shared" si="9"/>
        <v>2126903.6800000002</v>
      </c>
    </row>
    <row r="39" spans="1:16" s="70" customFormat="1" ht="56.25" x14ac:dyDescent="0.3">
      <c r="A39" s="89" t="s">
        <v>140</v>
      </c>
      <c r="B39" s="89" t="s">
        <v>141</v>
      </c>
      <c r="C39" s="90" t="s">
        <v>142</v>
      </c>
      <c r="D39" s="91" t="s">
        <v>302</v>
      </c>
      <c r="E39" s="32">
        <f t="shared" si="0"/>
        <v>4122033.3000000003</v>
      </c>
      <c r="F39" s="92">
        <f>2148394+472647+65045+312899+35000+193200+16000+751490.03+165327.49-1810-36159.22</f>
        <v>4122033.3000000003</v>
      </c>
      <c r="G39" s="92">
        <f>2148394+751490.03</f>
        <v>2899884.0300000003</v>
      </c>
      <c r="H39" s="92">
        <v>193200</v>
      </c>
      <c r="I39" s="92"/>
      <c r="J39" s="32">
        <f t="shared" si="2"/>
        <v>0</v>
      </c>
      <c r="K39" s="92">
        <f t="shared" si="15"/>
        <v>0</v>
      </c>
      <c r="L39" s="92"/>
      <c r="M39" s="92"/>
      <c r="N39" s="92"/>
      <c r="O39" s="92"/>
      <c r="P39" s="32">
        <f t="shared" si="9"/>
        <v>4122033.3000000003</v>
      </c>
    </row>
    <row r="40" spans="1:16" ht="56.25" x14ac:dyDescent="0.3">
      <c r="A40" s="29" t="s">
        <v>144</v>
      </c>
      <c r="B40" s="29" t="s">
        <v>145</v>
      </c>
      <c r="C40" s="30" t="s">
        <v>142</v>
      </c>
      <c r="D40" s="31" t="s">
        <v>303</v>
      </c>
      <c r="E40" s="32">
        <f t="shared" si="0"/>
        <v>12021600</v>
      </c>
      <c r="F40" s="33">
        <f>9853770.49+2167829.51</f>
        <v>12021600</v>
      </c>
      <c r="G40" s="33">
        <v>9853770.4900000002</v>
      </c>
      <c r="H40" s="33"/>
      <c r="I40" s="33"/>
      <c r="J40" s="32">
        <f t="shared" si="2"/>
        <v>0</v>
      </c>
      <c r="K40" s="33">
        <f t="shared" si="15"/>
        <v>0</v>
      </c>
      <c r="L40" s="33"/>
      <c r="M40" s="33"/>
      <c r="N40" s="33"/>
      <c r="O40" s="33"/>
      <c r="P40" s="32">
        <f t="shared" si="9"/>
        <v>12021600</v>
      </c>
    </row>
    <row r="41" spans="1:16" ht="56.25" x14ac:dyDescent="0.3">
      <c r="A41" s="29" t="s">
        <v>146</v>
      </c>
      <c r="B41" s="29" t="s">
        <v>147</v>
      </c>
      <c r="C41" s="30" t="s">
        <v>148</v>
      </c>
      <c r="D41" s="31" t="s">
        <v>410</v>
      </c>
      <c r="E41" s="32">
        <f t="shared" si="0"/>
        <v>2129480.6800000002</v>
      </c>
      <c r="F41" s="33">
        <f>1232645+271182+512830.97+112822.71</f>
        <v>2129480.6800000002</v>
      </c>
      <c r="G41" s="33">
        <f>1232645+512830.97</f>
        <v>1745475.97</v>
      </c>
      <c r="H41" s="33"/>
      <c r="I41" s="33"/>
      <c r="J41" s="32">
        <f t="shared" si="2"/>
        <v>0</v>
      </c>
      <c r="K41" s="33">
        <f t="shared" si="15"/>
        <v>0</v>
      </c>
      <c r="L41" s="33"/>
      <c r="M41" s="33"/>
      <c r="N41" s="33"/>
      <c r="O41" s="33"/>
      <c r="P41" s="32">
        <f t="shared" si="9"/>
        <v>2129480.6800000002</v>
      </c>
    </row>
    <row r="42" spans="1:16" customFormat="1" ht="13.9" hidden="1" customHeight="1" x14ac:dyDescent="0.2">
      <c r="A42" s="2" t="s">
        <v>149</v>
      </c>
      <c r="B42" s="2" t="s">
        <v>150</v>
      </c>
      <c r="C42" s="3" t="s">
        <v>151</v>
      </c>
      <c r="D42" s="4" t="s">
        <v>409</v>
      </c>
      <c r="E42" s="5">
        <f t="shared" si="0"/>
        <v>0</v>
      </c>
      <c r="F42" s="6"/>
      <c r="G42" s="6"/>
      <c r="H42" s="6"/>
      <c r="I42" s="6"/>
      <c r="J42" s="5">
        <f t="shared" si="2"/>
        <v>0</v>
      </c>
      <c r="K42" s="6">
        <f t="shared" si="15"/>
        <v>0</v>
      </c>
      <c r="L42" s="6"/>
      <c r="M42" s="6"/>
      <c r="N42" s="6"/>
      <c r="O42" s="6"/>
      <c r="P42" s="5">
        <f t="shared" si="9"/>
        <v>0</v>
      </c>
    </row>
    <row r="43" spans="1:16" customFormat="1" ht="76.5" hidden="1" customHeight="1" x14ac:dyDescent="0.2">
      <c r="A43" s="29" t="s">
        <v>153</v>
      </c>
      <c r="B43" s="29" t="s">
        <v>154</v>
      </c>
      <c r="C43" s="30" t="s">
        <v>151</v>
      </c>
      <c r="D43" s="31" t="s">
        <v>155</v>
      </c>
      <c r="E43" s="32">
        <f t="shared" si="0"/>
        <v>0</v>
      </c>
      <c r="F43" s="33">
        <v>0</v>
      </c>
      <c r="G43" s="33">
        <v>0</v>
      </c>
      <c r="H43" s="33"/>
      <c r="I43" s="33"/>
      <c r="J43" s="32">
        <f t="shared" si="2"/>
        <v>0</v>
      </c>
      <c r="K43" s="33">
        <f t="shared" si="15"/>
        <v>0</v>
      </c>
      <c r="L43" s="33"/>
      <c r="M43" s="33"/>
      <c r="N43" s="33"/>
      <c r="O43" s="33"/>
      <c r="P43" s="32">
        <f t="shared" si="9"/>
        <v>0</v>
      </c>
    </row>
    <row r="44" spans="1:16" customFormat="1" ht="38.25" hidden="1" x14ac:dyDescent="0.2">
      <c r="A44" s="2" t="s">
        <v>156</v>
      </c>
      <c r="B44" s="2" t="s">
        <v>157</v>
      </c>
      <c r="C44" s="3" t="s">
        <v>151</v>
      </c>
      <c r="D44" s="4" t="s">
        <v>158</v>
      </c>
      <c r="E44" s="5">
        <f t="shared" si="0"/>
        <v>0</v>
      </c>
      <c r="F44" s="6"/>
      <c r="G44" s="6"/>
      <c r="H44" s="6"/>
      <c r="I44" s="6"/>
      <c r="J44" s="5">
        <f t="shared" si="2"/>
        <v>0</v>
      </c>
      <c r="K44" s="6">
        <f t="shared" si="15"/>
        <v>0</v>
      </c>
      <c r="L44" s="6"/>
      <c r="M44" s="6"/>
      <c r="N44" s="6"/>
      <c r="O44" s="6"/>
      <c r="P44" s="5">
        <f t="shared" si="9"/>
        <v>0</v>
      </c>
    </row>
    <row r="45" spans="1:16" customFormat="1" ht="12.75" hidden="1" x14ac:dyDescent="0.2">
      <c r="A45" s="2" t="s">
        <v>159</v>
      </c>
      <c r="B45" s="2" t="s">
        <v>160</v>
      </c>
      <c r="C45" s="3" t="s">
        <v>161</v>
      </c>
      <c r="D45" s="4" t="s">
        <v>162</v>
      </c>
      <c r="E45" s="5">
        <f t="shared" si="0"/>
        <v>0</v>
      </c>
      <c r="F45" s="6"/>
      <c r="G45" s="6"/>
      <c r="H45" s="6"/>
      <c r="I45" s="6"/>
      <c r="J45" s="5">
        <f t="shared" si="2"/>
        <v>0</v>
      </c>
      <c r="K45" s="6">
        <f t="shared" si="15"/>
        <v>0</v>
      </c>
      <c r="L45" s="6"/>
      <c r="M45" s="6"/>
      <c r="N45" s="6"/>
      <c r="O45" s="6"/>
      <c r="P45" s="5">
        <f t="shared" si="9"/>
        <v>0</v>
      </c>
    </row>
    <row r="46" spans="1:16" customFormat="1" ht="93.75" hidden="1" x14ac:dyDescent="0.2">
      <c r="A46" s="29" t="s">
        <v>156</v>
      </c>
      <c r="B46" s="29" t="s">
        <v>157</v>
      </c>
      <c r="C46" s="30" t="s">
        <v>151</v>
      </c>
      <c r="D46" s="31" t="s">
        <v>362</v>
      </c>
      <c r="E46" s="32">
        <f t="shared" ref="E46" si="16">SUM(F46+I46)</f>
        <v>0</v>
      </c>
      <c r="F46" s="33">
        <v>0</v>
      </c>
      <c r="G46" s="6"/>
      <c r="H46" s="6"/>
      <c r="I46" s="6"/>
      <c r="J46" s="5"/>
      <c r="K46" s="6"/>
      <c r="L46" s="6"/>
      <c r="M46" s="6"/>
      <c r="N46" s="6"/>
      <c r="O46" s="6"/>
      <c r="P46" s="32">
        <f t="shared" si="9"/>
        <v>0</v>
      </c>
    </row>
    <row r="47" spans="1:16" ht="56.25" hidden="1" x14ac:dyDescent="0.3">
      <c r="A47" s="29" t="s">
        <v>163</v>
      </c>
      <c r="B47" s="29" t="s">
        <v>164</v>
      </c>
      <c r="C47" s="30" t="s">
        <v>165</v>
      </c>
      <c r="D47" s="31" t="s">
        <v>166</v>
      </c>
      <c r="E47" s="32">
        <f t="shared" si="0"/>
        <v>0</v>
      </c>
      <c r="F47" s="33">
        <v>0</v>
      </c>
      <c r="G47" s="33"/>
      <c r="H47" s="33">
        <v>0</v>
      </c>
      <c r="I47" s="33"/>
      <c r="J47" s="32">
        <f t="shared" si="2"/>
        <v>0</v>
      </c>
      <c r="K47" s="33">
        <f t="shared" si="15"/>
        <v>0</v>
      </c>
      <c r="L47" s="33"/>
      <c r="M47" s="33"/>
      <c r="N47" s="33"/>
      <c r="O47" s="33"/>
      <c r="P47" s="32">
        <f t="shared" si="9"/>
        <v>0</v>
      </c>
    </row>
    <row r="48" spans="1:16" customFormat="1" ht="12.75" hidden="1" x14ac:dyDescent="0.2">
      <c r="A48" s="2" t="s">
        <v>167</v>
      </c>
      <c r="B48" s="2" t="s">
        <v>168</v>
      </c>
      <c r="C48" s="3" t="s">
        <v>169</v>
      </c>
      <c r="D48" s="4" t="s">
        <v>170</v>
      </c>
      <c r="E48" s="5">
        <f t="shared" si="0"/>
        <v>0</v>
      </c>
      <c r="F48" s="6"/>
      <c r="G48" s="6"/>
      <c r="H48" s="6"/>
      <c r="I48" s="6"/>
      <c r="J48" s="5">
        <f t="shared" si="2"/>
        <v>0</v>
      </c>
      <c r="K48" s="6">
        <f t="shared" si="15"/>
        <v>0</v>
      </c>
      <c r="L48" s="6"/>
      <c r="M48" s="6"/>
      <c r="N48" s="6"/>
      <c r="O48" s="6"/>
      <c r="P48" s="5">
        <f t="shared" si="9"/>
        <v>0</v>
      </c>
    </row>
    <row r="49" spans="1:16" customFormat="1" ht="12.75" hidden="1" x14ac:dyDescent="0.2">
      <c r="A49" s="2" t="s">
        <v>171</v>
      </c>
      <c r="B49" s="2" t="s">
        <v>172</v>
      </c>
      <c r="C49" s="3" t="s">
        <v>169</v>
      </c>
      <c r="D49" s="4" t="s">
        <v>173</v>
      </c>
      <c r="E49" s="5">
        <f t="shared" si="0"/>
        <v>0</v>
      </c>
      <c r="F49" s="6"/>
      <c r="G49" s="6"/>
      <c r="H49" s="6"/>
      <c r="I49" s="6"/>
      <c r="J49" s="5">
        <f t="shared" si="2"/>
        <v>0</v>
      </c>
      <c r="K49" s="6">
        <f t="shared" si="15"/>
        <v>0</v>
      </c>
      <c r="L49" s="6"/>
      <c r="M49" s="6"/>
      <c r="N49" s="6"/>
      <c r="O49" s="6"/>
      <c r="P49" s="5">
        <f t="shared" si="9"/>
        <v>0</v>
      </c>
    </row>
    <row r="50" spans="1:16" customFormat="1" ht="12.75" hidden="1" x14ac:dyDescent="0.2">
      <c r="A50" s="2" t="s">
        <v>174</v>
      </c>
      <c r="B50" s="2" t="s">
        <v>175</v>
      </c>
      <c r="C50" s="3" t="s">
        <v>169</v>
      </c>
      <c r="D50" s="4" t="s">
        <v>176</v>
      </c>
      <c r="E50" s="5">
        <f t="shared" si="0"/>
        <v>0</v>
      </c>
      <c r="F50" s="6"/>
      <c r="G50" s="6"/>
      <c r="H50" s="6"/>
      <c r="I50" s="6"/>
      <c r="J50" s="5">
        <f t="shared" si="2"/>
        <v>0</v>
      </c>
      <c r="K50" s="6">
        <f t="shared" si="15"/>
        <v>0</v>
      </c>
      <c r="L50" s="6"/>
      <c r="M50" s="6"/>
      <c r="N50" s="6"/>
      <c r="O50" s="6"/>
      <c r="P50" s="5">
        <f t="shared" si="9"/>
        <v>0</v>
      </c>
    </row>
    <row r="51" spans="1:16" customFormat="1" ht="25.5" hidden="1" x14ac:dyDescent="0.2">
      <c r="A51" s="2" t="s">
        <v>177</v>
      </c>
      <c r="B51" s="2" t="s">
        <v>178</v>
      </c>
      <c r="C51" s="3" t="s">
        <v>169</v>
      </c>
      <c r="D51" s="4" t="s">
        <v>179</v>
      </c>
      <c r="E51" s="5">
        <f t="shared" si="0"/>
        <v>0</v>
      </c>
      <c r="F51" s="6"/>
      <c r="G51" s="6"/>
      <c r="H51" s="6"/>
      <c r="I51" s="6"/>
      <c r="J51" s="5">
        <f t="shared" si="2"/>
        <v>0</v>
      </c>
      <c r="K51" s="6">
        <f t="shared" si="15"/>
        <v>0</v>
      </c>
      <c r="L51" s="6"/>
      <c r="M51" s="6"/>
      <c r="N51" s="6"/>
      <c r="O51" s="6"/>
      <c r="P51" s="5">
        <f t="shared" si="9"/>
        <v>0</v>
      </c>
    </row>
    <row r="52" spans="1:16" s="88" customFormat="1" ht="37.5" hidden="1" x14ac:dyDescent="0.2">
      <c r="A52" s="89" t="s">
        <v>180</v>
      </c>
      <c r="B52" s="89" t="s">
        <v>181</v>
      </c>
      <c r="C52" s="90" t="s">
        <v>169</v>
      </c>
      <c r="D52" s="91" t="s">
        <v>182</v>
      </c>
      <c r="E52" s="32">
        <f t="shared" si="0"/>
        <v>0</v>
      </c>
      <c r="F52" s="33">
        <v>0</v>
      </c>
      <c r="G52" s="33"/>
      <c r="H52" s="33"/>
      <c r="I52" s="33"/>
      <c r="J52" s="32">
        <f t="shared" si="2"/>
        <v>0</v>
      </c>
      <c r="K52" s="33">
        <f t="shared" si="15"/>
        <v>0</v>
      </c>
      <c r="L52" s="33"/>
      <c r="M52" s="33"/>
      <c r="N52" s="33"/>
      <c r="O52" s="33"/>
      <c r="P52" s="32">
        <f t="shared" si="9"/>
        <v>0</v>
      </c>
    </row>
    <row r="53" spans="1:16" s="88" customFormat="1" ht="37.5" hidden="1" x14ac:dyDescent="0.2">
      <c r="A53" s="155" t="s">
        <v>167</v>
      </c>
      <c r="B53" s="89">
        <v>2141</v>
      </c>
      <c r="C53" s="90" t="s">
        <v>169</v>
      </c>
      <c r="D53" s="91" t="s">
        <v>170</v>
      </c>
      <c r="E53" s="32">
        <f t="shared" si="0"/>
        <v>0</v>
      </c>
      <c r="F53" s="33">
        <v>0</v>
      </c>
      <c r="G53" s="33"/>
      <c r="H53" s="33"/>
      <c r="I53" s="33"/>
      <c r="J53" s="32"/>
      <c r="K53" s="33"/>
      <c r="L53" s="33"/>
      <c r="M53" s="33"/>
      <c r="N53" s="33"/>
      <c r="O53" s="33"/>
      <c r="P53" s="32"/>
    </row>
    <row r="54" spans="1:16" s="88" customFormat="1" ht="37.5" hidden="1" x14ac:dyDescent="0.2">
      <c r="A54" s="155" t="s">
        <v>171</v>
      </c>
      <c r="B54" s="89">
        <v>2142</v>
      </c>
      <c r="C54" s="90" t="s">
        <v>169</v>
      </c>
      <c r="D54" s="91" t="s">
        <v>173</v>
      </c>
      <c r="E54" s="32">
        <f t="shared" si="0"/>
        <v>0</v>
      </c>
      <c r="F54" s="33">
        <v>0</v>
      </c>
      <c r="G54" s="33"/>
      <c r="H54" s="33"/>
      <c r="I54" s="33"/>
      <c r="J54" s="32"/>
      <c r="K54" s="33"/>
      <c r="L54" s="33"/>
      <c r="M54" s="33"/>
      <c r="N54" s="33"/>
      <c r="O54" s="33"/>
      <c r="P54" s="32"/>
    </row>
    <row r="55" spans="1:16" hidden="1" x14ac:dyDescent="0.3">
      <c r="A55" s="29" t="s">
        <v>183</v>
      </c>
      <c r="B55" s="29" t="s">
        <v>184</v>
      </c>
      <c r="C55" s="30" t="s">
        <v>185</v>
      </c>
      <c r="D55" s="31" t="s">
        <v>186</v>
      </c>
      <c r="E55" s="32">
        <f t="shared" si="0"/>
        <v>0</v>
      </c>
      <c r="F55" s="33">
        <v>0</v>
      </c>
      <c r="G55" s="33">
        <v>0</v>
      </c>
      <c r="H55" s="33">
        <v>0</v>
      </c>
      <c r="I55" s="33"/>
      <c r="J55" s="32">
        <f t="shared" si="2"/>
        <v>0</v>
      </c>
      <c r="K55" s="33">
        <f t="shared" si="15"/>
        <v>0</v>
      </c>
      <c r="L55" s="33"/>
      <c r="M55" s="33"/>
      <c r="N55" s="33"/>
      <c r="O55" s="33"/>
      <c r="P55" s="32">
        <f t="shared" si="9"/>
        <v>0</v>
      </c>
    </row>
    <row r="56" spans="1:16" ht="56.25" hidden="1" x14ac:dyDescent="0.3">
      <c r="A56" s="29" t="s">
        <v>187</v>
      </c>
      <c r="B56" s="29" t="s">
        <v>188</v>
      </c>
      <c r="C56" s="30" t="s">
        <v>189</v>
      </c>
      <c r="D56" s="31" t="s">
        <v>190</v>
      </c>
      <c r="E56" s="32">
        <f t="shared" si="0"/>
        <v>0</v>
      </c>
      <c r="F56" s="33">
        <v>0</v>
      </c>
      <c r="G56" s="33">
        <v>0</v>
      </c>
      <c r="H56" s="33">
        <v>0</v>
      </c>
      <c r="I56" s="33"/>
      <c r="J56" s="32">
        <f t="shared" si="2"/>
        <v>0</v>
      </c>
      <c r="K56" s="33">
        <f t="shared" si="15"/>
        <v>0</v>
      </c>
      <c r="L56" s="33"/>
      <c r="M56" s="33"/>
      <c r="N56" s="33"/>
      <c r="O56" s="33"/>
      <c r="P56" s="32">
        <f t="shared" si="9"/>
        <v>0</v>
      </c>
    </row>
    <row r="57" spans="1:16" hidden="1" x14ac:dyDescent="0.3">
      <c r="A57" s="29" t="s">
        <v>191</v>
      </c>
      <c r="B57" s="29" t="s">
        <v>192</v>
      </c>
      <c r="C57" s="30" t="s">
        <v>193</v>
      </c>
      <c r="D57" s="31" t="s">
        <v>194</v>
      </c>
      <c r="E57" s="32">
        <f t="shared" si="0"/>
        <v>0</v>
      </c>
      <c r="F57" s="33">
        <v>0</v>
      </c>
      <c r="G57" s="33"/>
      <c r="H57" s="33"/>
      <c r="I57" s="33"/>
      <c r="J57" s="32">
        <f t="shared" si="2"/>
        <v>0</v>
      </c>
      <c r="K57" s="33">
        <f t="shared" si="15"/>
        <v>0</v>
      </c>
      <c r="L57" s="33"/>
      <c r="M57" s="33"/>
      <c r="N57" s="33"/>
      <c r="O57" s="33"/>
      <c r="P57" s="32">
        <f t="shared" si="9"/>
        <v>0</v>
      </c>
    </row>
    <row r="58" spans="1:16" ht="37.5" hidden="1" x14ac:dyDescent="0.3">
      <c r="A58" s="29" t="s">
        <v>350</v>
      </c>
      <c r="B58" s="29">
        <v>8110</v>
      </c>
      <c r="C58" s="30" t="s">
        <v>126</v>
      </c>
      <c r="D58" s="31" t="s">
        <v>127</v>
      </c>
      <c r="E58" s="32">
        <f t="shared" si="0"/>
        <v>0</v>
      </c>
      <c r="F58" s="33">
        <v>0</v>
      </c>
      <c r="G58" s="33"/>
      <c r="H58" s="33"/>
      <c r="I58" s="33"/>
      <c r="J58" s="32">
        <f t="shared" si="2"/>
        <v>0</v>
      </c>
      <c r="K58" s="33">
        <f t="shared" si="15"/>
        <v>0</v>
      </c>
      <c r="L58" s="33"/>
      <c r="M58" s="33"/>
      <c r="N58" s="33"/>
      <c r="O58" s="33">
        <v>0</v>
      </c>
      <c r="P58" s="32">
        <f t="shared" si="9"/>
        <v>0</v>
      </c>
    </row>
    <row r="59" spans="1:16" ht="112.5" x14ac:dyDescent="0.3">
      <c r="A59" s="139" t="s">
        <v>153</v>
      </c>
      <c r="B59" s="29">
        <v>1200</v>
      </c>
      <c r="C59" s="139" t="s">
        <v>151</v>
      </c>
      <c r="D59" s="31" t="s">
        <v>392</v>
      </c>
      <c r="E59" s="32">
        <f t="shared" ref="E59:E61" si="17">SUM(F59+I59)</f>
        <v>10500</v>
      </c>
      <c r="F59" s="33">
        <f>8606.56+1893.44</f>
        <v>10500</v>
      </c>
      <c r="G59" s="33">
        <v>8606.56</v>
      </c>
      <c r="H59" s="33"/>
      <c r="I59" s="33"/>
      <c r="J59" s="32">
        <f t="shared" ref="J59:J61" si="18">SUM(L59+O59)</f>
        <v>0</v>
      </c>
      <c r="K59" s="33">
        <f t="shared" ref="K59:K61" si="19">SUM(O59)</f>
        <v>0</v>
      </c>
      <c r="L59" s="33"/>
      <c r="M59" s="33"/>
      <c r="N59" s="33"/>
      <c r="O59" s="33">
        <v>0</v>
      </c>
      <c r="P59" s="32">
        <f t="shared" ref="P59:P61" si="20">E59+J59</f>
        <v>10500</v>
      </c>
    </row>
    <row r="60" spans="1:16" x14ac:dyDescent="0.3">
      <c r="A60" s="139" t="s">
        <v>149</v>
      </c>
      <c r="B60" s="29">
        <v>1142</v>
      </c>
      <c r="C60" s="139" t="s">
        <v>151</v>
      </c>
      <c r="D60" s="31" t="s">
        <v>152</v>
      </c>
      <c r="E60" s="32">
        <f>F60</f>
        <v>26310</v>
      </c>
      <c r="F60" s="33">
        <f>24500+1810</f>
        <v>26310</v>
      </c>
      <c r="G60" s="33"/>
      <c r="H60" s="33"/>
      <c r="I60" s="33"/>
      <c r="J60" s="32">
        <f t="shared" si="18"/>
        <v>0</v>
      </c>
      <c r="K60" s="33">
        <v>0</v>
      </c>
      <c r="L60" s="33">
        <v>0</v>
      </c>
      <c r="M60" s="33">
        <v>0</v>
      </c>
      <c r="N60" s="33"/>
      <c r="O60" s="33"/>
      <c r="P60" s="32">
        <f t="shared" si="20"/>
        <v>26310</v>
      </c>
    </row>
    <row r="61" spans="1:16" ht="75" x14ac:dyDescent="0.3">
      <c r="A61" s="139" t="s">
        <v>390</v>
      </c>
      <c r="B61" s="29">
        <v>1600</v>
      </c>
      <c r="C61" s="139" t="s">
        <v>151</v>
      </c>
      <c r="D61" s="138" t="s">
        <v>391</v>
      </c>
      <c r="E61" s="32">
        <f t="shared" si="17"/>
        <v>1262500</v>
      </c>
      <c r="F61" s="33">
        <v>1262500</v>
      </c>
      <c r="G61" s="33">
        <v>1034836.08</v>
      </c>
      <c r="H61" s="33"/>
      <c r="I61" s="33"/>
      <c r="J61" s="32">
        <f t="shared" si="18"/>
        <v>0</v>
      </c>
      <c r="K61" s="33">
        <f t="shared" si="19"/>
        <v>0</v>
      </c>
      <c r="L61" s="33">
        <v>0</v>
      </c>
      <c r="M61" s="33"/>
      <c r="N61" s="33"/>
      <c r="O61" s="33">
        <v>0</v>
      </c>
      <c r="P61" s="32">
        <f t="shared" si="20"/>
        <v>1262500</v>
      </c>
    </row>
    <row r="62" spans="1:16" ht="56.25" x14ac:dyDescent="0.3">
      <c r="A62" s="34" t="s">
        <v>195</v>
      </c>
      <c r="B62" s="35"/>
      <c r="C62" s="36"/>
      <c r="D62" s="37" t="s">
        <v>397</v>
      </c>
      <c r="E62" s="38">
        <f t="shared" si="0"/>
        <v>10590561.67</v>
      </c>
      <c r="F62" s="39">
        <f>SUM(F63)</f>
        <v>10590561.67</v>
      </c>
      <c r="G62" s="39">
        <f t="shared" ref="G62:I62" si="21">SUM(G63)</f>
        <v>6242563.5999999996</v>
      </c>
      <c r="H62" s="39">
        <f t="shared" si="21"/>
        <v>0</v>
      </c>
      <c r="I62" s="39">
        <f t="shared" si="21"/>
        <v>0</v>
      </c>
      <c r="J62" s="38">
        <f t="shared" si="2"/>
        <v>0</v>
      </c>
      <c r="K62" s="39">
        <f t="shared" ref="K62:O62" si="22">SUM(K63)</f>
        <v>0</v>
      </c>
      <c r="L62" s="39">
        <f t="shared" si="22"/>
        <v>0</v>
      </c>
      <c r="M62" s="39">
        <f t="shared" si="22"/>
        <v>0</v>
      </c>
      <c r="N62" s="39">
        <f t="shared" si="22"/>
        <v>0</v>
      </c>
      <c r="O62" s="39">
        <f t="shared" si="22"/>
        <v>0</v>
      </c>
      <c r="P62" s="38">
        <f t="shared" si="9"/>
        <v>10590561.67</v>
      </c>
    </row>
    <row r="63" spans="1:16" x14ac:dyDescent="0.3">
      <c r="A63" s="34" t="s">
        <v>196</v>
      </c>
      <c r="B63" s="35"/>
      <c r="C63" s="36"/>
      <c r="D63" s="37" t="s">
        <v>101</v>
      </c>
      <c r="E63" s="38">
        <f t="shared" si="0"/>
        <v>10590561.67</v>
      </c>
      <c r="F63" s="39">
        <f>SUM(F64:F73)</f>
        <v>10590561.67</v>
      </c>
      <c r="G63" s="39">
        <f>SUM(G64:G73)</f>
        <v>6242563.5999999996</v>
      </c>
      <c r="H63" s="39">
        <f t="shared" ref="H63:I63" si="23">SUM(H64:H73)</f>
        <v>0</v>
      </c>
      <c r="I63" s="39">
        <f t="shared" si="23"/>
        <v>0</v>
      </c>
      <c r="J63" s="38">
        <f t="shared" si="2"/>
        <v>0</v>
      </c>
      <c r="K63" s="39">
        <f t="shared" ref="K63:O63" si="24">SUM(K64:K73)</f>
        <v>0</v>
      </c>
      <c r="L63" s="39">
        <f t="shared" si="24"/>
        <v>0</v>
      </c>
      <c r="M63" s="39">
        <f t="shared" si="24"/>
        <v>0</v>
      </c>
      <c r="N63" s="39">
        <f t="shared" si="24"/>
        <v>0</v>
      </c>
      <c r="O63" s="39">
        <f t="shared" si="24"/>
        <v>0</v>
      </c>
      <c r="P63" s="38">
        <f t="shared" si="9"/>
        <v>10590561.67</v>
      </c>
    </row>
    <row r="64" spans="1:16" ht="56.25" x14ac:dyDescent="0.3">
      <c r="A64" s="29" t="s">
        <v>197</v>
      </c>
      <c r="B64" s="29" t="s">
        <v>135</v>
      </c>
      <c r="C64" s="30" t="s">
        <v>102</v>
      </c>
      <c r="D64" s="31" t="s">
        <v>103</v>
      </c>
      <c r="E64" s="32">
        <f t="shared" si="0"/>
        <v>3893142</v>
      </c>
      <c r="F64" s="33">
        <f>3184536+644806+25000+38800</f>
        <v>3893142</v>
      </c>
      <c r="G64" s="33">
        <v>3184536</v>
      </c>
      <c r="H64" s="33"/>
      <c r="I64" s="33"/>
      <c r="J64" s="32">
        <f t="shared" si="2"/>
        <v>0</v>
      </c>
      <c r="K64" s="33">
        <f t="shared" ref="K64:K73" si="25">SUM(O64)</f>
        <v>0</v>
      </c>
      <c r="L64" s="33"/>
      <c r="M64" s="33"/>
      <c r="N64" s="33"/>
      <c r="O64" s="33">
        <v>0</v>
      </c>
      <c r="P64" s="32">
        <f t="shared" si="9"/>
        <v>3893142</v>
      </c>
    </row>
    <row r="65" spans="1:16" ht="37.5" hidden="1" x14ac:dyDescent="0.3">
      <c r="A65" s="29" t="s">
        <v>198</v>
      </c>
      <c r="B65" s="29" t="s">
        <v>199</v>
      </c>
      <c r="C65" s="30" t="s">
        <v>200</v>
      </c>
      <c r="D65" s="31" t="s">
        <v>201</v>
      </c>
      <c r="E65" s="32">
        <f t="shared" si="0"/>
        <v>0</v>
      </c>
      <c r="F65" s="33">
        <v>0</v>
      </c>
      <c r="G65" s="33"/>
      <c r="H65" s="33"/>
      <c r="I65" s="33"/>
      <c r="J65" s="32">
        <f t="shared" si="2"/>
        <v>0</v>
      </c>
      <c r="K65" s="33">
        <f t="shared" si="25"/>
        <v>0</v>
      </c>
      <c r="L65" s="33"/>
      <c r="M65" s="33"/>
      <c r="N65" s="33"/>
      <c r="O65" s="33"/>
      <c r="P65" s="32">
        <f t="shared" si="9"/>
        <v>0</v>
      </c>
    </row>
    <row r="66" spans="1:16" ht="112.5" x14ac:dyDescent="0.3">
      <c r="A66" s="29" t="s">
        <v>385</v>
      </c>
      <c r="B66" s="29" t="s">
        <v>386</v>
      </c>
      <c r="C66" s="30" t="s">
        <v>207</v>
      </c>
      <c r="D66" s="31" t="s">
        <v>387</v>
      </c>
      <c r="E66" s="32">
        <f t="shared" si="0"/>
        <v>3778793.67</v>
      </c>
      <c r="F66" s="33">
        <f>2430140+534631+20000+28000+627887.6+138135.07</f>
        <v>3778793.67</v>
      </c>
      <c r="G66" s="33">
        <f>2430140+627887.6</f>
        <v>3058027.6</v>
      </c>
      <c r="H66" s="33"/>
      <c r="I66" s="33"/>
      <c r="J66" s="32">
        <f t="shared" si="2"/>
        <v>0</v>
      </c>
      <c r="K66" s="33">
        <f t="shared" si="25"/>
        <v>0</v>
      </c>
      <c r="L66" s="33"/>
      <c r="M66" s="33"/>
      <c r="N66" s="33"/>
      <c r="O66" s="33"/>
      <c r="P66" s="32">
        <f t="shared" si="9"/>
        <v>3778793.67</v>
      </c>
    </row>
    <row r="67" spans="1:16" ht="57.75" customHeight="1" x14ac:dyDescent="0.3">
      <c r="A67" s="29" t="s">
        <v>202</v>
      </c>
      <c r="B67" s="29" t="s">
        <v>203</v>
      </c>
      <c r="C67" s="30" t="s">
        <v>200</v>
      </c>
      <c r="D67" s="31" t="s">
        <v>204</v>
      </c>
      <c r="E67" s="32">
        <f t="shared" si="0"/>
        <v>10704</v>
      </c>
      <c r="F67" s="33">
        <f>12074-1370</f>
        <v>10704</v>
      </c>
      <c r="G67" s="33"/>
      <c r="H67" s="33"/>
      <c r="I67" s="33"/>
      <c r="J67" s="32">
        <f t="shared" si="2"/>
        <v>0</v>
      </c>
      <c r="K67" s="33">
        <f t="shared" si="25"/>
        <v>0</v>
      </c>
      <c r="L67" s="33"/>
      <c r="M67" s="33"/>
      <c r="N67" s="33"/>
      <c r="O67" s="33"/>
      <c r="P67" s="32">
        <f t="shared" si="9"/>
        <v>10704</v>
      </c>
    </row>
    <row r="68" spans="1:16" customFormat="1" ht="112.5" x14ac:dyDescent="0.2">
      <c r="A68" s="29" t="s">
        <v>440</v>
      </c>
      <c r="B68" s="29">
        <v>3160</v>
      </c>
      <c r="C68" s="30">
        <v>1010</v>
      </c>
      <c r="D68" s="31" t="s">
        <v>441</v>
      </c>
      <c r="E68" s="32">
        <f t="shared" si="0"/>
        <v>106370</v>
      </c>
      <c r="F68" s="33">
        <v>106370</v>
      </c>
      <c r="G68" s="33"/>
      <c r="H68" s="33"/>
      <c r="I68" s="33"/>
      <c r="J68" s="32">
        <f t="shared" si="2"/>
        <v>0</v>
      </c>
      <c r="K68" s="33">
        <f t="shared" si="25"/>
        <v>0</v>
      </c>
      <c r="L68" s="33"/>
      <c r="M68" s="33"/>
      <c r="N68" s="33"/>
      <c r="O68" s="33"/>
      <c r="P68" s="32">
        <f t="shared" si="9"/>
        <v>106370</v>
      </c>
    </row>
    <row r="69" spans="1:16" ht="75" x14ac:dyDescent="0.3">
      <c r="A69" s="29" t="s">
        <v>209</v>
      </c>
      <c r="B69" s="29" t="s">
        <v>210</v>
      </c>
      <c r="C69" s="30" t="s">
        <v>137</v>
      </c>
      <c r="D69" s="31" t="s">
        <v>211</v>
      </c>
      <c r="E69" s="32">
        <f t="shared" si="0"/>
        <v>1506</v>
      </c>
      <c r="F69" s="33">
        <v>1506</v>
      </c>
      <c r="G69" s="33"/>
      <c r="H69" s="33"/>
      <c r="I69" s="33"/>
      <c r="J69" s="32">
        <f t="shared" si="2"/>
        <v>0</v>
      </c>
      <c r="K69" s="33">
        <f t="shared" si="25"/>
        <v>0</v>
      </c>
      <c r="L69" s="33"/>
      <c r="M69" s="33"/>
      <c r="N69" s="33"/>
      <c r="O69" s="33"/>
      <c r="P69" s="32">
        <f t="shared" si="9"/>
        <v>1506</v>
      </c>
    </row>
    <row r="70" spans="1:16" ht="93.75" x14ac:dyDescent="0.3">
      <c r="A70" s="29" t="s">
        <v>212</v>
      </c>
      <c r="B70" s="29" t="s">
        <v>213</v>
      </c>
      <c r="C70" s="30" t="s">
        <v>214</v>
      </c>
      <c r="D70" s="31" t="s">
        <v>215</v>
      </c>
      <c r="E70" s="32">
        <f t="shared" si="0"/>
        <v>19476</v>
      </c>
      <c r="F70" s="33">
        <f>3825+15651</f>
        <v>19476</v>
      </c>
      <c r="G70" s="33"/>
      <c r="H70" s="33"/>
      <c r="I70" s="33"/>
      <c r="J70" s="32">
        <f t="shared" si="2"/>
        <v>0</v>
      </c>
      <c r="K70" s="33">
        <f t="shared" si="25"/>
        <v>0</v>
      </c>
      <c r="L70" s="33"/>
      <c r="M70" s="33"/>
      <c r="N70" s="33"/>
      <c r="O70" s="33"/>
      <c r="P70" s="32">
        <f t="shared" si="9"/>
        <v>19476</v>
      </c>
    </row>
    <row r="71" spans="1:16" ht="93.75" x14ac:dyDescent="0.3">
      <c r="A71" s="29" t="s">
        <v>205</v>
      </c>
      <c r="B71" s="29">
        <v>3140</v>
      </c>
      <c r="C71" s="139" t="s">
        <v>207</v>
      </c>
      <c r="D71" s="31" t="s">
        <v>208</v>
      </c>
      <c r="E71" s="32">
        <f t="shared" ref="E71" si="26">SUM(F71+I71)</f>
        <v>475340</v>
      </c>
      <c r="F71" s="33">
        <f>317000+158340</f>
        <v>475340</v>
      </c>
      <c r="G71" s="33"/>
      <c r="H71" s="33"/>
      <c r="I71" s="33"/>
      <c r="J71" s="32">
        <f t="shared" ref="J71" si="27">SUM(L71+O71)</f>
        <v>0</v>
      </c>
      <c r="K71" s="33">
        <f t="shared" ref="K71" si="28">SUM(O71)</f>
        <v>0</v>
      </c>
      <c r="L71" s="33"/>
      <c r="M71" s="33"/>
      <c r="N71" s="33"/>
      <c r="O71" s="33">
        <v>0</v>
      </c>
      <c r="P71" s="32">
        <f t="shared" ref="P71" si="29">E71+J71</f>
        <v>475340</v>
      </c>
    </row>
    <row r="72" spans="1:16" ht="37.5" x14ac:dyDescent="0.3">
      <c r="A72" s="29" t="s">
        <v>442</v>
      </c>
      <c r="B72" s="29">
        <v>3191</v>
      </c>
      <c r="C72" s="139">
        <v>1030</v>
      </c>
      <c r="D72" s="31" t="s">
        <v>443</v>
      </c>
      <c r="E72" s="32">
        <f t="shared" si="0"/>
        <v>630000</v>
      </c>
      <c r="F72" s="33">
        <f>600000+315000-285000</f>
        <v>630000</v>
      </c>
      <c r="G72" s="33"/>
      <c r="H72" s="33"/>
      <c r="I72" s="33"/>
      <c r="J72" s="32">
        <f t="shared" si="2"/>
        <v>0</v>
      </c>
      <c r="K72" s="33">
        <f t="shared" si="25"/>
        <v>0</v>
      </c>
      <c r="L72" s="33"/>
      <c r="M72" s="33"/>
      <c r="N72" s="33"/>
      <c r="O72" s="33"/>
      <c r="P72" s="32">
        <f t="shared" si="9"/>
        <v>630000</v>
      </c>
    </row>
    <row r="73" spans="1:16" s="70" customFormat="1" ht="37.5" x14ac:dyDescent="0.3">
      <c r="A73" s="89" t="s">
        <v>217</v>
      </c>
      <c r="B73" s="89" t="s">
        <v>218</v>
      </c>
      <c r="C73" s="90" t="s">
        <v>216</v>
      </c>
      <c r="D73" s="91" t="s">
        <v>219</v>
      </c>
      <c r="E73" s="32">
        <f t="shared" si="0"/>
        <v>1675230</v>
      </c>
      <c r="F73" s="92">
        <f>875230+400000+400000</f>
        <v>1675230</v>
      </c>
      <c r="G73" s="92"/>
      <c r="H73" s="92"/>
      <c r="I73" s="92"/>
      <c r="J73" s="32">
        <f t="shared" si="2"/>
        <v>0</v>
      </c>
      <c r="K73" s="92">
        <f t="shared" si="25"/>
        <v>0</v>
      </c>
      <c r="L73" s="92"/>
      <c r="M73" s="92"/>
      <c r="N73" s="92"/>
      <c r="O73" s="92"/>
      <c r="P73" s="32">
        <f t="shared" si="9"/>
        <v>1675230</v>
      </c>
    </row>
    <row r="74" spans="1:16" ht="56.25" x14ac:dyDescent="0.3">
      <c r="A74" s="34" t="s">
        <v>220</v>
      </c>
      <c r="B74" s="35"/>
      <c r="C74" s="36"/>
      <c r="D74" s="37" t="s">
        <v>398</v>
      </c>
      <c r="E74" s="38">
        <f t="shared" si="0"/>
        <v>1350107</v>
      </c>
      <c r="F74" s="39">
        <f>SUM(F75)</f>
        <v>1350107</v>
      </c>
      <c r="G74" s="39">
        <f t="shared" ref="G74:I74" si="30">SUM(G75)</f>
        <v>1020825</v>
      </c>
      <c r="H74" s="39">
        <f t="shared" si="30"/>
        <v>0</v>
      </c>
      <c r="I74" s="39">
        <f t="shared" si="30"/>
        <v>0</v>
      </c>
      <c r="J74" s="38">
        <f t="shared" si="2"/>
        <v>0</v>
      </c>
      <c r="K74" s="39">
        <f t="shared" ref="K74:O74" si="31">SUM(K75)</f>
        <v>0</v>
      </c>
      <c r="L74" s="39">
        <f t="shared" si="31"/>
        <v>0</v>
      </c>
      <c r="M74" s="39">
        <f t="shared" si="31"/>
        <v>0</v>
      </c>
      <c r="N74" s="39">
        <f t="shared" si="31"/>
        <v>0</v>
      </c>
      <c r="O74" s="39">
        <f t="shared" si="31"/>
        <v>0</v>
      </c>
      <c r="P74" s="38">
        <f t="shared" si="9"/>
        <v>1350107</v>
      </c>
    </row>
    <row r="75" spans="1:16" x14ac:dyDescent="0.3">
      <c r="A75" s="34" t="s">
        <v>222</v>
      </c>
      <c r="B75" s="35"/>
      <c r="C75" s="36"/>
      <c r="D75" s="37" t="s">
        <v>101</v>
      </c>
      <c r="E75" s="38">
        <f t="shared" si="0"/>
        <v>1350107</v>
      </c>
      <c r="F75" s="39">
        <f>SUM(F76:F78)</f>
        <v>1350107</v>
      </c>
      <c r="G75" s="39">
        <f t="shared" ref="G75:I75" si="32">SUM(G76:G78)</f>
        <v>1020825</v>
      </c>
      <c r="H75" s="39">
        <f t="shared" si="32"/>
        <v>0</v>
      </c>
      <c r="I75" s="39">
        <f t="shared" si="32"/>
        <v>0</v>
      </c>
      <c r="J75" s="38">
        <f t="shared" si="2"/>
        <v>0</v>
      </c>
      <c r="K75" s="39">
        <f t="shared" ref="K75:O75" si="33">SUM(K76:K78)</f>
        <v>0</v>
      </c>
      <c r="L75" s="39">
        <f t="shared" si="33"/>
        <v>0</v>
      </c>
      <c r="M75" s="39">
        <f t="shared" si="33"/>
        <v>0</v>
      </c>
      <c r="N75" s="39">
        <f t="shared" si="33"/>
        <v>0</v>
      </c>
      <c r="O75" s="39">
        <f t="shared" si="33"/>
        <v>0</v>
      </c>
      <c r="P75" s="38">
        <f t="shared" si="9"/>
        <v>1350107</v>
      </c>
    </row>
    <row r="76" spans="1:16" ht="56.25" x14ac:dyDescent="0.3">
      <c r="A76" s="29" t="s">
        <v>223</v>
      </c>
      <c r="B76" s="29" t="s">
        <v>135</v>
      </c>
      <c r="C76" s="30" t="s">
        <v>102</v>
      </c>
      <c r="D76" s="31" t="s">
        <v>103</v>
      </c>
      <c r="E76" s="32">
        <f t="shared" si="0"/>
        <v>1265107</v>
      </c>
      <c r="F76" s="33">
        <f>1020825+224582+1700+18000</f>
        <v>1265107</v>
      </c>
      <c r="G76" s="33">
        <v>1020825</v>
      </c>
      <c r="H76" s="33"/>
      <c r="I76" s="33"/>
      <c r="J76" s="38">
        <f t="shared" si="2"/>
        <v>0</v>
      </c>
      <c r="K76" s="33">
        <f t="shared" ref="K76:K78" si="34">SUM(O76)</f>
        <v>0</v>
      </c>
      <c r="L76" s="33">
        <v>0</v>
      </c>
      <c r="M76" s="33"/>
      <c r="N76" s="33"/>
      <c r="O76" s="33">
        <v>0</v>
      </c>
      <c r="P76" s="32">
        <f t="shared" si="9"/>
        <v>1265107</v>
      </c>
    </row>
    <row r="77" spans="1:16" ht="75" x14ac:dyDescent="0.3">
      <c r="A77" s="29" t="s">
        <v>444</v>
      </c>
      <c r="B77" s="29">
        <v>3114</v>
      </c>
      <c r="C77" s="139">
        <v>1040</v>
      </c>
      <c r="D77" s="31" t="s">
        <v>445</v>
      </c>
      <c r="E77" s="32">
        <f t="shared" si="0"/>
        <v>20000</v>
      </c>
      <c r="F77" s="33">
        <f>25000+35000-40000</f>
        <v>20000</v>
      </c>
      <c r="G77" s="33"/>
      <c r="H77" s="33"/>
      <c r="I77" s="33"/>
      <c r="J77" s="38">
        <f t="shared" si="2"/>
        <v>0</v>
      </c>
      <c r="K77" s="33">
        <v>0</v>
      </c>
      <c r="L77" s="33"/>
      <c r="M77" s="33"/>
      <c r="N77" s="33"/>
      <c r="O77" s="33">
        <v>0</v>
      </c>
      <c r="P77" s="32"/>
    </row>
    <row r="78" spans="1:16" ht="37.5" x14ac:dyDescent="0.3">
      <c r="A78" s="29" t="s">
        <v>224</v>
      </c>
      <c r="B78" s="29" t="s">
        <v>218</v>
      </c>
      <c r="C78" s="30" t="s">
        <v>216</v>
      </c>
      <c r="D78" s="31" t="s">
        <v>219</v>
      </c>
      <c r="E78" s="32">
        <f t="shared" si="0"/>
        <v>65000</v>
      </c>
      <c r="F78" s="33">
        <f>25000+40000</f>
        <v>65000</v>
      </c>
      <c r="G78" s="33"/>
      <c r="H78" s="33"/>
      <c r="I78" s="33"/>
      <c r="J78" s="32">
        <f t="shared" si="2"/>
        <v>0</v>
      </c>
      <c r="K78" s="33">
        <f t="shared" si="34"/>
        <v>0</v>
      </c>
      <c r="L78" s="33"/>
      <c r="M78" s="33"/>
      <c r="N78" s="33"/>
      <c r="O78" s="33"/>
      <c r="P78" s="32">
        <f t="shared" si="9"/>
        <v>65000</v>
      </c>
    </row>
    <row r="79" spans="1:16" ht="93.75" x14ac:dyDescent="0.3">
      <c r="A79" s="34" t="s">
        <v>225</v>
      </c>
      <c r="B79" s="35"/>
      <c r="C79" s="36"/>
      <c r="D79" s="37" t="s">
        <v>399</v>
      </c>
      <c r="E79" s="38">
        <f t="shared" si="0"/>
        <v>16393550</v>
      </c>
      <c r="F79" s="39">
        <f>SUM(F80)</f>
        <v>16393550</v>
      </c>
      <c r="G79" s="39">
        <f t="shared" ref="G79:I79" si="35">SUM(G80)</f>
        <v>2127391</v>
      </c>
      <c r="H79" s="39">
        <f t="shared" si="35"/>
        <v>0</v>
      </c>
      <c r="I79" s="39">
        <f t="shared" si="35"/>
        <v>0</v>
      </c>
      <c r="J79" s="38">
        <f t="shared" si="2"/>
        <v>0</v>
      </c>
      <c r="K79" s="39">
        <f t="shared" ref="K79:O79" si="36">SUM(K80)</f>
        <v>0</v>
      </c>
      <c r="L79" s="39">
        <f t="shared" si="36"/>
        <v>0</v>
      </c>
      <c r="M79" s="39">
        <f t="shared" si="36"/>
        <v>0</v>
      </c>
      <c r="N79" s="39">
        <f t="shared" si="36"/>
        <v>0</v>
      </c>
      <c r="O79" s="39">
        <f t="shared" si="36"/>
        <v>0</v>
      </c>
      <c r="P79" s="38">
        <f t="shared" si="9"/>
        <v>16393550</v>
      </c>
    </row>
    <row r="80" spans="1:16" x14ac:dyDescent="0.3">
      <c r="A80" s="34" t="s">
        <v>226</v>
      </c>
      <c r="B80" s="35"/>
      <c r="C80" s="36"/>
      <c r="D80" s="37" t="s">
        <v>101</v>
      </c>
      <c r="E80" s="38">
        <f t="shared" si="0"/>
        <v>16393550</v>
      </c>
      <c r="F80" s="39">
        <f>SUM(F81:F92)</f>
        <v>16393550</v>
      </c>
      <c r="G80" s="39">
        <f t="shared" ref="G80:I80" si="37">SUM(G81:G92)</f>
        <v>2127391</v>
      </c>
      <c r="H80" s="39">
        <f t="shared" si="37"/>
        <v>0</v>
      </c>
      <c r="I80" s="39">
        <f t="shared" si="37"/>
        <v>0</v>
      </c>
      <c r="J80" s="38">
        <f t="shared" si="2"/>
        <v>0</v>
      </c>
      <c r="K80" s="39">
        <f t="shared" ref="K80:O80" si="38">SUM(K81:K92)</f>
        <v>0</v>
      </c>
      <c r="L80" s="39">
        <f t="shared" si="38"/>
        <v>0</v>
      </c>
      <c r="M80" s="39">
        <f t="shared" si="38"/>
        <v>0</v>
      </c>
      <c r="N80" s="39">
        <f t="shared" si="38"/>
        <v>0</v>
      </c>
      <c r="O80" s="39">
        <f t="shared" si="38"/>
        <v>0</v>
      </c>
      <c r="P80" s="38">
        <f t="shared" si="9"/>
        <v>16393550</v>
      </c>
    </row>
    <row r="81" spans="1:16" ht="56.25" x14ac:dyDescent="0.3">
      <c r="A81" s="29" t="s">
        <v>227</v>
      </c>
      <c r="B81" s="29" t="s">
        <v>135</v>
      </c>
      <c r="C81" s="30" t="s">
        <v>102</v>
      </c>
      <c r="D81" s="31" t="s">
        <v>103</v>
      </c>
      <c r="E81" s="32">
        <f t="shared" si="0"/>
        <v>2544536</v>
      </c>
      <c r="F81" s="33">
        <f>2127391+357145+10000+50000</f>
        <v>2544536</v>
      </c>
      <c r="G81" s="33">
        <v>2127391</v>
      </c>
      <c r="H81" s="33"/>
      <c r="I81" s="33"/>
      <c r="J81" s="32">
        <f t="shared" si="2"/>
        <v>0</v>
      </c>
      <c r="K81" s="33"/>
      <c r="L81" s="33"/>
      <c r="M81" s="33"/>
      <c r="N81" s="33"/>
      <c r="O81" s="33"/>
      <c r="P81" s="32">
        <f t="shared" si="9"/>
        <v>2544536</v>
      </c>
    </row>
    <row r="82" spans="1:16" ht="37.5" x14ac:dyDescent="0.3">
      <c r="A82" s="29">
        <v>1213242</v>
      </c>
      <c r="B82" s="29">
        <v>3242</v>
      </c>
      <c r="C82" s="139">
        <v>1090</v>
      </c>
      <c r="D82" s="31" t="s">
        <v>219</v>
      </c>
      <c r="E82" s="32">
        <f t="shared" si="0"/>
        <v>420900</v>
      </c>
      <c r="F82" s="33">
        <f>340900+80000</f>
        <v>420900</v>
      </c>
      <c r="G82" s="33"/>
      <c r="H82" s="33"/>
      <c r="I82" s="33"/>
      <c r="J82" s="32"/>
      <c r="K82" s="33"/>
      <c r="L82" s="33"/>
      <c r="M82" s="33"/>
      <c r="N82" s="33"/>
      <c r="O82" s="33"/>
      <c r="P82" s="32">
        <f t="shared" si="9"/>
        <v>420900</v>
      </c>
    </row>
    <row r="83" spans="1:16" ht="37.5" hidden="1" x14ac:dyDescent="0.3">
      <c r="A83" s="29">
        <v>1216011</v>
      </c>
      <c r="B83" s="29">
        <v>6011</v>
      </c>
      <c r="C83" s="139" t="s">
        <v>341</v>
      </c>
      <c r="D83" s="138" t="s">
        <v>340</v>
      </c>
      <c r="E83" s="32">
        <f t="shared" si="0"/>
        <v>0</v>
      </c>
      <c r="F83" s="33">
        <v>0</v>
      </c>
      <c r="G83" s="33"/>
      <c r="H83" s="33"/>
      <c r="I83" s="33"/>
      <c r="J83" s="32">
        <f t="shared" si="2"/>
        <v>0</v>
      </c>
      <c r="K83" s="92">
        <f t="shared" ref="K83:K91" si="39">SUM(O83)</f>
        <v>0</v>
      </c>
      <c r="L83" s="33"/>
      <c r="M83" s="33"/>
      <c r="N83" s="33"/>
      <c r="O83" s="33">
        <f>350000-350000</f>
        <v>0</v>
      </c>
      <c r="P83" s="32">
        <f t="shared" si="9"/>
        <v>0</v>
      </c>
    </row>
    <row r="84" spans="1:16" ht="37.5" x14ac:dyDescent="0.3">
      <c r="A84" s="29" t="s">
        <v>228</v>
      </c>
      <c r="B84" s="29" t="s">
        <v>229</v>
      </c>
      <c r="C84" s="30" t="s">
        <v>230</v>
      </c>
      <c r="D84" s="31" t="s">
        <v>231</v>
      </c>
      <c r="E84" s="32">
        <f t="shared" si="0"/>
        <v>400000</v>
      </c>
      <c r="F84" s="33">
        <v>400000</v>
      </c>
      <c r="G84" s="33"/>
      <c r="H84" s="33">
        <v>0</v>
      </c>
      <c r="I84" s="33"/>
      <c r="J84" s="32">
        <f t="shared" si="2"/>
        <v>0</v>
      </c>
      <c r="K84" s="33">
        <f t="shared" si="39"/>
        <v>0</v>
      </c>
      <c r="L84" s="33"/>
      <c r="M84" s="33"/>
      <c r="N84" s="33"/>
      <c r="O84" s="33"/>
      <c r="P84" s="32">
        <f t="shared" si="9"/>
        <v>400000</v>
      </c>
    </row>
    <row r="85" spans="1:16" s="70" customFormat="1" ht="75" x14ac:dyDescent="0.3">
      <c r="A85" s="89" t="s">
        <v>301</v>
      </c>
      <c r="B85" s="89">
        <v>6020</v>
      </c>
      <c r="C85" s="90" t="s">
        <v>230</v>
      </c>
      <c r="D85" s="91" t="s">
        <v>304</v>
      </c>
      <c r="E85" s="32">
        <f t="shared" ref="E85" si="40">SUM(F85+I85)</f>
        <v>5041800</v>
      </c>
      <c r="F85" s="92">
        <f>2345000+2696800</f>
        <v>5041800</v>
      </c>
      <c r="G85" s="92"/>
      <c r="H85" s="92"/>
      <c r="I85" s="92"/>
      <c r="J85" s="32">
        <f t="shared" ref="J85" si="41">SUM(L85+O85)</f>
        <v>0</v>
      </c>
      <c r="K85" s="92">
        <f t="shared" si="39"/>
        <v>0</v>
      </c>
      <c r="L85" s="92">
        <v>0</v>
      </c>
      <c r="M85" s="92"/>
      <c r="N85" s="92"/>
      <c r="O85" s="92">
        <v>0</v>
      </c>
      <c r="P85" s="32">
        <f t="shared" ref="P85" si="42">E85+J85</f>
        <v>5041800</v>
      </c>
    </row>
    <row r="86" spans="1:16" customFormat="1" hidden="1" x14ac:dyDescent="0.2">
      <c r="A86" s="2" t="s">
        <v>232</v>
      </c>
      <c r="B86" s="2" t="s">
        <v>233</v>
      </c>
      <c r="C86" s="3" t="s">
        <v>230</v>
      </c>
      <c r="D86" s="4" t="s">
        <v>234</v>
      </c>
      <c r="E86" s="5">
        <f t="shared" si="0"/>
        <v>0</v>
      </c>
      <c r="F86" s="6"/>
      <c r="G86" s="6"/>
      <c r="H86" s="6"/>
      <c r="I86" s="6"/>
      <c r="J86" s="32">
        <f t="shared" si="2"/>
        <v>0</v>
      </c>
      <c r="K86" s="6">
        <f t="shared" si="39"/>
        <v>0</v>
      </c>
      <c r="L86" s="6"/>
      <c r="M86" s="6"/>
      <c r="N86" s="6"/>
      <c r="O86" s="6"/>
      <c r="P86" s="32">
        <f t="shared" si="9"/>
        <v>0</v>
      </c>
    </row>
    <row r="87" spans="1:16" customFormat="1" x14ac:dyDescent="0.2">
      <c r="A87" s="89" t="s">
        <v>232</v>
      </c>
      <c r="B87" s="89">
        <v>6030</v>
      </c>
      <c r="C87" s="90" t="s">
        <v>230</v>
      </c>
      <c r="D87" s="91" t="s">
        <v>234</v>
      </c>
      <c r="E87" s="32">
        <f t="shared" ref="E87" si="43">SUM(F87+I87)</f>
        <v>3858200</v>
      </c>
      <c r="F87" s="92">
        <f>1483283+2374917</f>
        <v>3858200</v>
      </c>
      <c r="G87" s="92"/>
      <c r="H87" s="92">
        <v>0</v>
      </c>
      <c r="I87" s="92"/>
      <c r="J87" s="32">
        <f t="shared" ref="J87" si="44">SUM(L87+O87)</f>
        <v>0</v>
      </c>
      <c r="K87" s="92">
        <f t="shared" ref="K87" si="45">SUM(O87)</f>
        <v>0</v>
      </c>
      <c r="L87" s="92"/>
      <c r="M87" s="92"/>
      <c r="N87" s="92"/>
      <c r="O87" s="92">
        <v>0</v>
      </c>
      <c r="P87" s="32">
        <f t="shared" si="9"/>
        <v>3858200</v>
      </c>
    </row>
    <row r="88" spans="1:16" ht="37.5" hidden="1" x14ac:dyDescent="0.3">
      <c r="A88" s="29" t="s">
        <v>342</v>
      </c>
      <c r="B88" s="29">
        <v>7310</v>
      </c>
      <c r="C88" s="139" t="s">
        <v>344</v>
      </c>
      <c r="D88" s="31" t="s">
        <v>343</v>
      </c>
      <c r="E88" s="32">
        <f t="shared" si="0"/>
        <v>0</v>
      </c>
      <c r="F88" s="33"/>
      <c r="G88" s="33"/>
      <c r="H88" s="33"/>
      <c r="I88" s="33"/>
      <c r="J88" s="32">
        <f t="shared" si="2"/>
        <v>0</v>
      </c>
      <c r="K88" s="33">
        <f t="shared" si="39"/>
        <v>0</v>
      </c>
      <c r="L88" s="33"/>
      <c r="M88" s="33"/>
      <c r="N88" s="33"/>
      <c r="O88" s="33">
        <v>0</v>
      </c>
      <c r="P88" s="32">
        <f t="shared" si="9"/>
        <v>0</v>
      </c>
    </row>
    <row r="89" spans="1:16" s="93" customFormat="1" ht="56.25" hidden="1" x14ac:dyDescent="0.2">
      <c r="A89" s="89" t="s">
        <v>235</v>
      </c>
      <c r="B89" s="89" t="s">
        <v>236</v>
      </c>
      <c r="C89" s="90" t="s">
        <v>237</v>
      </c>
      <c r="D89" s="91" t="s">
        <v>238</v>
      </c>
      <c r="E89" s="32">
        <f t="shared" si="0"/>
        <v>0</v>
      </c>
      <c r="F89" s="92">
        <v>0</v>
      </c>
      <c r="G89" s="92"/>
      <c r="H89" s="92"/>
      <c r="I89" s="92"/>
      <c r="J89" s="32">
        <f t="shared" si="2"/>
        <v>0</v>
      </c>
      <c r="K89" s="92">
        <f t="shared" si="39"/>
        <v>0</v>
      </c>
      <c r="L89" s="92"/>
      <c r="M89" s="92"/>
      <c r="N89" s="92"/>
      <c r="O89" s="92"/>
      <c r="P89" s="32">
        <f t="shared" si="9"/>
        <v>0</v>
      </c>
    </row>
    <row r="90" spans="1:16" s="190" customFormat="1" ht="56.25" hidden="1" x14ac:dyDescent="0.3">
      <c r="A90" s="185" t="s">
        <v>239</v>
      </c>
      <c r="B90" s="185" t="s">
        <v>240</v>
      </c>
      <c r="C90" s="186" t="s">
        <v>237</v>
      </c>
      <c r="D90" s="187" t="s">
        <v>241</v>
      </c>
      <c r="E90" s="32">
        <f t="shared" si="0"/>
        <v>0</v>
      </c>
      <c r="F90" s="189">
        <v>0</v>
      </c>
      <c r="G90" s="189"/>
      <c r="H90" s="189"/>
      <c r="I90" s="189"/>
      <c r="J90" s="32">
        <f t="shared" si="2"/>
        <v>0</v>
      </c>
      <c r="K90" s="189">
        <f t="shared" si="39"/>
        <v>0</v>
      </c>
      <c r="L90" s="189"/>
      <c r="M90" s="189"/>
      <c r="N90" s="189"/>
      <c r="O90" s="189"/>
      <c r="P90" s="32">
        <f t="shared" si="9"/>
        <v>0</v>
      </c>
    </row>
    <row r="91" spans="1:16" customFormat="1" hidden="1" x14ac:dyDescent="0.2">
      <c r="A91" s="2" t="s">
        <v>242</v>
      </c>
      <c r="B91" s="2">
        <v>7670</v>
      </c>
      <c r="C91" s="3">
        <v>490</v>
      </c>
      <c r="D91" s="4" t="s">
        <v>243</v>
      </c>
      <c r="E91" s="32">
        <f t="shared" si="0"/>
        <v>0</v>
      </c>
      <c r="F91" s="6"/>
      <c r="G91" s="6"/>
      <c r="H91" s="6"/>
      <c r="I91" s="6"/>
      <c r="J91" s="32">
        <f>SUM(L91+O91)</f>
        <v>0</v>
      </c>
      <c r="K91" s="6">
        <f t="shared" si="39"/>
        <v>0</v>
      </c>
      <c r="L91" s="6"/>
      <c r="M91" s="6"/>
      <c r="N91" s="6"/>
      <c r="O91" s="6"/>
      <c r="P91" s="32">
        <f t="shared" si="9"/>
        <v>0</v>
      </c>
    </row>
    <row r="92" spans="1:16" s="93" customFormat="1" ht="37.5" x14ac:dyDescent="0.2">
      <c r="A92" s="89" t="s">
        <v>244</v>
      </c>
      <c r="B92" s="89" t="s">
        <v>125</v>
      </c>
      <c r="C92" s="90" t="s">
        <v>126</v>
      </c>
      <c r="D92" s="91" t="s">
        <v>127</v>
      </c>
      <c r="E92" s="32">
        <f t="shared" si="0"/>
        <v>4128114</v>
      </c>
      <c r="F92" s="92">
        <f>1000000+2000000+1128114</f>
        <v>4128114</v>
      </c>
      <c r="G92" s="92"/>
      <c r="H92" s="92"/>
      <c r="I92" s="92"/>
      <c r="J92" s="32">
        <f t="shared" ref="J92:J104" si="46">SUM(L92+O92)</f>
        <v>0</v>
      </c>
      <c r="K92" s="92">
        <f>SUM(O92)</f>
        <v>0</v>
      </c>
      <c r="L92" s="92"/>
      <c r="M92" s="92"/>
      <c r="N92" s="92"/>
      <c r="O92" s="92">
        <v>0</v>
      </c>
      <c r="P92" s="32">
        <f t="shared" si="9"/>
        <v>4128114</v>
      </c>
    </row>
    <row r="93" spans="1:16" ht="56.25" x14ac:dyDescent="0.3">
      <c r="A93" s="34" t="s">
        <v>245</v>
      </c>
      <c r="B93" s="35"/>
      <c r="C93" s="36"/>
      <c r="D93" s="37" t="s">
        <v>400</v>
      </c>
      <c r="E93" s="38">
        <f t="shared" si="0"/>
        <v>0</v>
      </c>
      <c r="F93" s="39">
        <f>SUM(F94)</f>
        <v>0</v>
      </c>
      <c r="G93" s="39">
        <f t="shared" ref="G93:I94" si="47">SUM(G94)</f>
        <v>0</v>
      </c>
      <c r="H93" s="39">
        <f t="shared" si="47"/>
        <v>0</v>
      </c>
      <c r="I93" s="39">
        <f t="shared" si="47"/>
        <v>0</v>
      </c>
      <c r="J93" s="38">
        <f t="shared" si="46"/>
        <v>0</v>
      </c>
      <c r="K93" s="39">
        <f t="shared" ref="K93:O94" si="48">SUM(K94)</f>
        <v>0</v>
      </c>
      <c r="L93" s="39">
        <f t="shared" si="48"/>
        <v>0</v>
      </c>
      <c r="M93" s="39">
        <f t="shared" si="48"/>
        <v>0</v>
      </c>
      <c r="N93" s="39">
        <f t="shared" si="48"/>
        <v>0</v>
      </c>
      <c r="O93" s="39">
        <f t="shared" si="48"/>
        <v>0</v>
      </c>
      <c r="P93" s="38">
        <f t="shared" si="9"/>
        <v>0</v>
      </c>
    </row>
    <row r="94" spans="1:16" x14ac:dyDescent="0.3">
      <c r="A94" s="34" t="s">
        <v>246</v>
      </c>
      <c r="B94" s="35"/>
      <c r="C94" s="36"/>
      <c r="D94" s="37" t="s">
        <v>101</v>
      </c>
      <c r="E94" s="38">
        <f t="shared" si="0"/>
        <v>0</v>
      </c>
      <c r="F94" s="39">
        <f>SUM(F95)</f>
        <v>0</v>
      </c>
      <c r="G94" s="39">
        <f t="shared" si="47"/>
        <v>0</v>
      </c>
      <c r="H94" s="39">
        <f t="shared" si="47"/>
        <v>0</v>
      </c>
      <c r="I94" s="39">
        <f t="shared" si="47"/>
        <v>0</v>
      </c>
      <c r="J94" s="38">
        <f t="shared" si="46"/>
        <v>0</v>
      </c>
      <c r="K94" s="39">
        <f t="shared" si="48"/>
        <v>0</v>
      </c>
      <c r="L94" s="39">
        <f t="shared" si="48"/>
        <v>0</v>
      </c>
      <c r="M94" s="39">
        <f t="shared" si="48"/>
        <v>0</v>
      </c>
      <c r="N94" s="39">
        <f t="shared" si="48"/>
        <v>0</v>
      </c>
      <c r="O94" s="39">
        <f t="shared" si="48"/>
        <v>0</v>
      </c>
      <c r="P94" s="38">
        <f t="shared" si="9"/>
        <v>0</v>
      </c>
    </row>
    <row r="95" spans="1:16" ht="56.25" x14ac:dyDescent="0.3">
      <c r="A95" s="29" t="s">
        <v>247</v>
      </c>
      <c r="B95" s="29" t="s">
        <v>135</v>
      </c>
      <c r="C95" s="30" t="s">
        <v>102</v>
      </c>
      <c r="D95" s="31" t="s">
        <v>103</v>
      </c>
      <c r="E95" s="32">
        <f t="shared" si="0"/>
        <v>0</v>
      </c>
      <c r="F95" s="33">
        <v>0</v>
      </c>
      <c r="G95" s="33">
        <v>0</v>
      </c>
      <c r="H95" s="33"/>
      <c r="I95" s="33"/>
      <c r="J95" s="32">
        <f t="shared" si="46"/>
        <v>0</v>
      </c>
      <c r="K95" s="33">
        <f t="shared" ref="K95" si="49">SUM(O95)</f>
        <v>0</v>
      </c>
      <c r="L95" s="33"/>
      <c r="M95" s="33"/>
      <c r="N95" s="33"/>
      <c r="O95" s="33"/>
      <c r="P95" s="32">
        <f t="shared" si="9"/>
        <v>0</v>
      </c>
    </row>
    <row r="96" spans="1:16" ht="56.25" x14ac:dyDescent="0.3">
      <c r="A96" s="34" t="s">
        <v>248</v>
      </c>
      <c r="B96" s="35"/>
      <c r="C96" s="36"/>
      <c r="D96" s="37" t="s">
        <v>401</v>
      </c>
      <c r="E96" s="38">
        <f t="shared" si="0"/>
        <v>1870770</v>
      </c>
      <c r="F96" s="39">
        <f>SUM(F97)</f>
        <v>1870770</v>
      </c>
      <c r="G96" s="39">
        <f t="shared" ref="G96:I97" si="50">SUM(G97)</f>
        <v>1482467</v>
      </c>
      <c r="H96" s="39">
        <f t="shared" si="50"/>
        <v>0</v>
      </c>
      <c r="I96" s="39">
        <f t="shared" si="50"/>
        <v>0</v>
      </c>
      <c r="J96" s="38">
        <f t="shared" si="46"/>
        <v>0</v>
      </c>
      <c r="K96" s="39">
        <f t="shared" ref="K96:O97" si="51">SUM(K97)</f>
        <v>0</v>
      </c>
      <c r="L96" s="39">
        <f t="shared" si="51"/>
        <v>0</v>
      </c>
      <c r="M96" s="39">
        <f t="shared" si="51"/>
        <v>0</v>
      </c>
      <c r="N96" s="39">
        <f t="shared" si="51"/>
        <v>0</v>
      </c>
      <c r="O96" s="39">
        <f t="shared" si="51"/>
        <v>0</v>
      </c>
      <c r="P96" s="38">
        <f t="shared" si="9"/>
        <v>1870770</v>
      </c>
    </row>
    <row r="97" spans="1:16" x14ac:dyDescent="0.3">
      <c r="A97" s="34" t="s">
        <v>249</v>
      </c>
      <c r="B97" s="35"/>
      <c r="C97" s="36"/>
      <c r="D97" s="37" t="s">
        <v>101</v>
      </c>
      <c r="E97" s="38">
        <f t="shared" si="0"/>
        <v>1870770</v>
      </c>
      <c r="F97" s="39">
        <f>SUM(F98)</f>
        <v>1870770</v>
      </c>
      <c r="G97" s="39">
        <f t="shared" si="50"/>
        <v>1482467</v>
      </c>
      <c r="H97" s="39">
        <f t="shared" si="50"/>
        <v>0</v>
      </c>
      <c r="I97" s="39">
        <f t="shared" si="50"/>
        <v>0</v>
      </c>
      <c r="J97" s="38">
        <f t="shared" si="46"/>
        <v>0</v>
      </c>
      <c r="K97" s="39">
        <f t="shared" si="51"/>
        <v>0</v>
      </c>
      <c r="L97" s="39">
        <f t="shared" si="51"/>
        <v>0</v>
      </c>
      <c r="M97" s="39">
        <f t="shared" si="51"/>
        <v>0</v>
      </c>
      <c r="N97" s="39">
        <f t="shared" si="51"/>
        <v>0</v>
      </c>
      <c r="O97" s="39">
        <f t="shared" si="51"/>
        <v>0</v>
      </c>
      <c r="P97" s="38">
        <f t="shared" si="9"/>
        <v>1870770</v>
      </c>
    </row>
    <row r="98" spans="1:16" ht="56.25" x14ac:dyDescent="0.3">
      <c r="A98" s="29" t="s">
        <v>251</v>
      </c>
      <c r="B98" s="29" t="s">
        <v>135</v>
      </c>
      <c r="C98" s="30" t="s">
        <v>102</v>
      </c>
      <c r="D98" s="31" t="s">
        <v>103</v>
      </c>
      <c r="E98" s="32">
        <f t="shared" ref="E98:E104" si="52">SUM(F98+I98)</f>
        <v>1870770</v>
      </c>
      <c r="F98" s="33">
        <f>1482467+326143+18000+15000+29160</f>
        <v>1870770</v>
      </c>
      <c r="G98" s="33">
        <v>1482467</v>
      </c>
      <c r="H98" s="33"/>
      <c r="I98" s="33"/>
      <c r="J98" s="32">
        <f t="shared" si="46"/>
        <v>0</v>
      </c>
      <c r="K98" s="33">
        <f t="shared" ref="K98" si="53">SUM(O98)</f>
        <v>0</v>
      </c>
      <c r="L98" s="33"/>
      <c r="M98" s="33"/>
      <c r="N98" s="33"/>
      <c r="O98" s="33"/>
      <c r="P98" s="32">
        <f t="shared" si="9"/>
        <v>1870770</v>
      </c>
    </row>
    <row r="99" spans="1:16" ht="56.25" x14ac:dyDescent="0.3">
      <c r="A99" s="34" t="s">
        <v>252</v>
      </c>
      <c r="B99" s="35"/>
      <c r="C99" s="36"/>
      <c r="D99" s="37" t="s">
        <v>402</v>
      </c>
      <c r="E99" s="38">
        <f t="shared" si="52"/>
        <v>11549005.890000001</v>
      </c>
      <c r="F99" s="39">
        <f>SUM(F100)</f>
        <v>11549005.890000001</v>
      </c>
      <c r="G99" s="39">
        <f t="shared" ref="G99:I99" si="54">SUM(G100)</f>
        <v>1583166.16</v>
      </c>
      <c r="H99" s="39">
        <f t="shared" si="54"/>
        <v>0</v>
      </c>
      <c r="I99" s="39">
        <f t="shared" si="54"/>
        <v>0</v>
      </c>
      <c r="J99" s="38">
        <f t="shared" si="46"/>
        <v>0</v>
      </c>
      <c r="K99" s="39">
        <f t="shared" ref="K99:O99" si="55">SUM(K100)</f>
        <v>0</v>
      </c>
      <c r="L99" s="39">
        <f t="shared" si="55"/>
        <v>0</v>
      </c>
      <c r="M99" s="39">
        <f t="shared" si="55"/>
        <v>0</v>
      </c>
      <c r="N99" s="39">
        <f t="shared" si="55"/>
        <v>0</v>
      </c>
      <c r="O99" s="39">
        <f t="shared" si="55"/>
        <v>0</v>
      </c>
      <c r="P99" s="38">
        <f t="shared" si="9"/>
        <v>11549005.890000001</v>
      </c>
    </row>
    <row r="100" spans="1:16" x14ac:dyDescent="0.3">
      <c r="A100" s="34" t="s">
        <v>253</v>
      </c>
      <c r="B100" s="35"/>
      <c r="C100" s="36"/>
      <c r="D100" s="37" t="s">
        <v>101</v>
      </c>
      <c r="E100" s="38">
        <f t="shared" si="52"/>
        <v>11549005.890000001</v>
      </c>
      <c r="F100" s="39">
        <f>SUM(F101:F104)</f>
        <v>11549005.890000001</v>
      </c>
      <c r="G100" s="39">
        <f t="shared" ref="G100:I100" si="56">SUM(G101:G104)</f>
        <v>1583166.16</v>
      </c>
      <c r="H100" s="39">
        <f t="shared" si="56"/>
        <v>0</v>
      </c>
      <c r="I100" s="39">
        <f t="shared" si="56"/>
        <v>0</v>
      </c>
      <c r="J100" s="38">
        <f t="shared" si="46"/>
        <v>0</v>
      </c>
      <c r="K100" s="39">
        <f t="shared" ref="K100:O100" si="57">SUM(K101:K104)</f>
        <v>0</v>
      </c>
      <c r="L100" s="39">
        <f t="shared" si="57"/>
        <v>0</v>
      </c>
      <c r="M100" s="39">
        <f t="shared" si="57"/>
        <v>0</v>
      </c>
      <c r="N100" s="39">
        <f t="shared" si="57"/>
        <v>0</v>
      </c>
      <c r="O100" s="39">
        <f t="shared" si="57"/>
        <v>0</v>
      </c>
      <c r="P100" s="38">
        <f t="shared" si="9"/>
        <v>11549005.890000001</v>
      </c>
    </row>
    <row r="101" spans="1:16" ht="56.25" x14ac:dyDescent="0.3">
      <c r="A101" s="29" t="s">
        <v>254</v>
      </c>
      <c r="B101" s="29" t="s">
        <v>135</v>
      </c>
      <c r="C101" s="30" t="s">
        <v>102</v>
      </c>
      <c r="D101" s="31" t="s">
        <v>103</v>
      </c>
      <c r="E101" s="32">
        <f t="shared" si="52"/>
        <v>1966463</v>
      </c>
      <c r="F101" s="33">
        <f>1516676+333669+15000+20000+66490.16+14627.84</f>
        <v>1966463</v>
      </c>
      <c r="G101" s="33">
        <f>1516676+66490.16</f>
        <v>1583166.16</v>
      </c>
      <c r="H101" s="33"/>
      <c r="I101" s="33"/>
      <c r="J101" s="32">
        <f t="shared" si="46"/>
        <v>0</v>
      </c>
      <c r="K101" s="33">
        <f t="shared" ref="K101:K104" si="58">SUM(O101)</f>
        <v>0</v>
      </c>
      <c r="L101" s="33"/>
      <c r="M101" s="33"/>
      <c r="N101" s="33"/>
      <c r="O101" s="33"/>
      <c r="P101" s="32">
        <f t="shared" si="9"/>
        <v>1966463</v>
      </c>
    </row>
    <row r="102" spans="1:16" s="70" customFormat="1" ht="37.5" x14ac:dyDescent="0.3">
      <c r="A102" s="89" t="s">
        <v>310</v>
      </c>
      <c r="B102" s="89">
        <v>7370</v>
      </c>
      <c r="C102" s="155" t="s">
        <v>119</v>
      </c>
      <c r="D102" s="162" t="s">
        <v>335</v>
      </c>
      <c r="E102" s="32">
        <f t="shared" si="52"/>
        <v>633486.57999999996</v>
      </c>
      <c r="F102" s="92">
        <f>1586000+328540-30000-50000-1128114-34939.42-38000</f>
        <v>633486.57999999996</v>
      </c>
      <c r="G102" s="92"/>
      <c r="H102" s="92"/>
      <c r="I102" s="92"/>
      <c r="J102" s="32">
        <f t="shared" si="46"/>
        <v>0</v>
      </c>
      <c r="K102" s="92">
        <f t="shared" si="58"/>
        <v>0</v>
      </c>
      <c r="L102" s="92"/>
      <c r="M102" s="92"/>
      <c r="N102" s="92"/>
      <c r="O102" s="92"/>
      <c r="P102" s="32">
        <f t="shared" ref="P102" si="59">E102+J102</f>
        <v>633486.57999999996</v>
      </c>
    </row>
    <row r="103" spans="1:16" s="70" customFormat="1" ht="21" customHeight="1" x14ac:dyDescent="0.3">
      <c r="A103" s="89" t="s">
        <v>311</v>
      </c>
      <c r="B103" s="89">
        <v>9150</v>
      </c>
      <c r="C103" s="155" t="s">
        <v>130</v>
      </c>
      <c r="D103" s="91" t="s">
        <v>75</v>
      </c>
      <c r="E103" s="32">
        <f t="shared" ref="E103" si="60">SUM(F103+I103)</f>
        <v>5029900</v>
      </c>
      <c r="F103" s="92">
        <f>180000+50000+4799900</f>
        <v>5029900</v>
      </c>
      <c r="G103" s="92"/>
      <c r="H103" s="92"/>
      <c r="I103" s="92"/>
      <c r="J103" s="32">
        <f t="shared" ref="J103" si="61">SUM(L103+O103)</f>
        <v>0</v>
      </c>
      <c r="K103" s="92">
        <f t="shared" si="58"/>
        <v>0</v>
      </c>
      <c r="L103" s="92"/>
      <c r="M103" s="92"/>
      <c r="N103" s="92"/>
      <c r="O103" s="92"/>
      <c r="P103" s="32">
        <f t="shared" ref="P103" si="62">E103+J103</f>
        <v>5029900</v>
      </c>
    </row>
    <row r="104" spans="1:16" s="93" customFormat="1" x14ac:dyDescent="0.2">
      <c r="A104" s="89" t="s">
        <v>255</v>
      </c>
      <c r="B104" s="89" t="s">
        <v>256</v>
      </c>
      <c r="C104" s="90" t="s">
        <v>130</v>
      </c>
      <c r="D104" s="91" t="s">
        <v>77</v>
      </c>
      <c r="E104" s="32">
        <f t="shared" si="52"/>
        <v>3919156.31</v>
      </c>
      <c r="F104" s="92">
        <f>3132100+85556.31-950800+535800+950800+165700</f>
        <v>3919156.31</v>
      </c>
      <c r="G104" s="92"/>
      <c r="H104" s="92"/>
      <c r="I104" s="92"/>
      <c r="J104" s="32">
        <f t="shared" si="46"/>
        <v>0</v>
      </c>
      <c r="K104" s="92">
        <f t="shared" si="58"/>
        <v>0</v>
      </c>
      <c r="L104" s="92"/>
      <c r="M104" s="92"/>
      <c r="N104" s="92"/>
      <c r="O104" s="92"/>
      <c r="P104" s="32">
        <f t="shared" ref="P104:P105" si="63">E104+J104</f>
        <v>3919156.31</v>
      </c>
    </row>
    <row r="105" spans="1:16" x14ac:dyDescent="0.3">
      <c r="A105" s="40" t="s">
        <v>79</v>
      </c>
      <c r="B105" s="41" t="s">
        <v>79</v>
      </c>
      <c r="C105" s="42" t="s">
        <v>79</v>
      </c>
      <c r="D105" s="43" t="s">
        <v>257</v>
      </c>
      <c r="E105" s="38">
        <f>SUM(E19+E23+E35+E62+E74+E79+E93+E96+E99)</f>
        <v>102938725.41</v>
      </c>
      <c r="F105" s="38">
        <f>SUM(F19+F23+F35+F62+F74+F79+F93+F96+F99)</f>
        <v>102938725.41</v>
      </c>
      <c r="G105" s="38">
        <f>SUM(G19+G23+G35+G62+G74+G79+G93+G96+G99)</f>
        <v>58574007.329999991</v>
      </c>
      <c r="H105" s="38">
        <f>SUM(H19+H23+H35+H62+H74+H79+H93+H96+H99)</f>
        <v>910700</v>
      </c>
      <c r="I105" s="38">
        <f t="shared" ref="I105:O105" si="64">SUM(I19+I23+I35+I62+I74+I79+I93+I96+I99)</f>
        <v>0</v>
      </c>
      <c r="J105" s="38">
        <f>SUM(J19+J23+J35+J62+J74+J79+J93+J96+J99+J61)</f>
        <v>0</v>
      </c>
      <c r="K105" s="38">
        <f>SUM(K19+K23+K35+K62+K74+K79+K93+K96+K99)</f>
        <v>0</v>
      </c>
      <c r="L105" s="38">
        <f>SUM(L19+L23+L35+L62+L74+L79+L61+L93+L96+L99)</f>
        <v>0</v>
      </c>
      <c r="M105" s="38">
        <f t="shared" si="64"/>
        <v>0</v>
      </c>
      <c r="N105" s="38">
        <f t="shared" si="64"/>
        <v>0</v>
      </c>
      <c r="O105" s="38">
        <f t="shared" si="64"/>
        <v>0</v>
      </c>
      <c r="P105" s="38">
        <f t="shared" si="63"/>
        <v>102938725.41</v>
      </c>
    </row>
    <row r="106" spans="1:16" ht="3.75" customHeight="1" x14ac:dyDescent="0.3"/>
    <row r="107" spans="1:16" ht="18" customHeight="1" x14ac:dyDescent="0.3"/>
    <row r="108" spans="1:16" x14ac:dyDescent="0.3">
      <c r="E108" s="7" t="s">
        <v>81</v>
      </c>
      <c r="L108" s="7" t="s">
        <v>82</v>
      </c>
    </row>
    <row r="109" spans="1:16" x14ac:dyDescent="0.3">
      <c r="B109" s="26"/>
      <c r="I109" s="26"/>
    </row>
    <row r="110" spans="1:16" x14ac:dyDescent="0.3">
      <c r="B110" s="26"/>
    </row>
    <row r="111" spans="1:16" s="142" customFormat="1" x14ac:dyDescent="0.3">
      <c r="E111" s="143">
        <f>'дод 1'!D107+'дод 2'!D31-'дод 3'!E105</f>
        <v>0</v>
      </c>
      <c r="G111" s="143"/>
      <c r="J111" s="143">
        <f>'дод 1'!E107+'дод 2'!E31-'дод 3'!J105</f>
        <v>0</v>
      </c>
      <c r="P111" s="143">
        <f>'дод 1'!C107+'дод 2'!C31-'дод 3'!P105</f>
        <v>0</v>
      </c>
    </row>
    <row r="114" spans="10:11" x14ac:dyDescent="0.3">
      <c r="J114" s="150"/>
      <c r="K114" s="150"/>
    </row>
  </sheetData>
  <autoFilter ref="A18:P105">
    <filterColumn colId="15">
      <customFilters>
        <customFilter operator="notEqual" val="0"/>
      </customFilters>
    </filterColumn>
  </autoFilter>
  <mergeCells count="22">
    <mergeCell ref="O15:O17"/>
    <mergeCell ref="G16:G17"/>
    <mergeCell ref="H16:H17"/>
    <mergeCell ref="M16:M17"/>
    <mergeCell ref="N16:N17"/>
    <mergeCell ref="L15:L17"/>
    <mergeCell ref="A10:P10"/>
    <mergeCell ref="A11:P11"/>
    <mergeCell ref="A14:A17"/>
    <mergeCell ref="B14:B17"/>
    <mergeCell ref="C14:C17"/>
    <mergeCell ref="D14:D17"/>
    <mergeCell ref="E14:I14"/>
    <mergeCell ref="J14:O14"/>
    <mergeCell ref="P14:P17"/>
    <mergeCell ref="E15:E17"/>
    <mergeCell ref="F15:F17"/>
    <mergeCell ref="G15:H15"/>
    <mergeCell ref="I15:I17"/>
    <mergeCell ref="J15:J17"/>
    <mergeCell ref="K15:K17"/>
    <mergeCell ref="M15:N15"/>
  </mergeCells>
  <printOptions horizontalCentered="1"/>
  <pageMargins left="0.19685039370078741" right="0.19685039370078741" top="0.59055118110236227" bottom="0.39370078740157483" header="0" footer="0"/>
  <pageSetup paperSize="9" scale="50" fitToHeight="50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6"/>
  <sheetViews>
    <sheetView topLeftCell="A4" zoomScaleNormal="100" workbookViewId="0">
      <selection activeCell="C10" sqref="C10"/>
    </sheetView>
  </sheetViews>
  <sheetFormatPr defaultColWidth="9.140625" defaultRowHeight="18.75" x14ac:dyDescent="0.3"/>
  <cols>
    <col min="1" max="2" width="20.7109375" style="7" customWidth="1"/>
    <col min="3" max="3" width="53.85546875" style="7" customWidth="1"/>
    <col min="4" max="4" width="31.28515625" style="7" customWidth="1"/>
    <col min="5" max="6" width="9.140625" style="7"/>
    <col min="7" max="7" width="19.5703125" style="7" bestFit="1" customWidth="1"/>
    <col min="8" max="16384" width="9.140625" style="7"/>
  </cols>
  <sheetData>
    <row r="1" spans="1:4" x14ac:dyDescent="0.3">
      <c r="A1" s="44"/>
      <c r="C1" s="231" t="s">
        <v>328</v>
      </c>
      <c r="D1" s="231"/>
    </row>
    <row r="2" spans="1:4" x14ac:dyDescent="0.3">
      <c r="C2" s="231" t="s">
        <v>308</v>
      </c>
      <c r="D2" s="231"/>
    </row>
    <row r="3" spans="1:4" x14ac:dyDescent="0.3">
      <c r="C3" s="231" t="s">
        <v>306</v>
      </c>
      <c r="D3" s="231"/>
    </row>
    <row r="4" spans="1:4" x14ac:dyDescent="0.3">
      <c r="C4" s="231" t="s">
        <v>307</v>
      </c>
      <c r="D4" s="231"/>
    </row>
    <row r="5" spans="1:4" x14ac:dyDescent="0.3">
      <c r="C5" s="231" t="s">
        <v>476</v>
      </c>
      <c r="D5" s="231"/>
    </row>
    <row r="6" spans="1:4" x14ac:dyDescent="0.3">
      <c r="C6" s="7" t="s">
        <v>480</v>
      </c>
    </row>
    <row r="7" spans="1:4" x14ac:dyDescent="0.3">
      <c r="C7" s="7" t="s">
        <v>306</v>
      </c>
    </row>
    <row r="8" spans="1:4" x14ac:dyDescent="0.3">
      <c r="C8" s="7" t="s">
        <v>481</v>
      </c>
    </row>
    <row r="9" spans="1:4" x14ac:dyDescent="0.3">
      <c r="C9" s="7" t="s">
        <v>515</v>
      </c>
    </row>
    <row r="10" spans="1:4" ht="25.5" customHeight="1" x14ac:dyDescent="0.3">
      <c r="C10" s="8"/>
      <c r="D10" s="8"/>
    </row>
    <row r="11" spans="1:4" x14ac:dyDescent="0.3">
      <c r="A11" s="215" t="s">
        <v>446</v>
      </c>
      <c r="B11" s="216"/>
      <c r="C11" s="216"/>
      <c r="D11" s="216"/>
    </row>
    <row r="12" spans="1:4" x14ac:dyDescent="0.3">
      <c r="A12" s="226" t="s">
        <v>89</v>
      </c>
      <c r="B12" s="216"/>
      <c r="C12" s="216"/>
      <c r="D12" s="216"/>
    </row>
    <row r="13" spans="1:4" x14ac:dyDescent="0.3">
      <c r="A13" s="216" t="s">
        <v>1</v>
      </c>
      <c r="B13" s="216"/>
      <c r="C13" s="216"/>
      <c r="D13" s="216"/>
    </row>
    <row r="14" spans="1:4" ht="21.95" customHeight="1" x14ac:dyDescent="0.3">
      <c r="A14" s="45" t="s">
        <v>258</v>
      </c>
    </row>
    <row r="15" spans="1:4" x14ac:dyDescent="0.3">
      <c r="D15" s="8" t="s">
        <v>2</v>
      </c>
    </row>
    <row r="16" spans="1:4" ht="93.75" x14ac:dyDescent="0.3">
      <c r="A16" s="46" t="s">
        <v>259</v>
      </c>
      <c r="B16" s="227" t="s">
        <v>260</v>
      </c>
      <c r="C16" s="228"/>
      <c r="D16" s="47" t="s">
        <v>5</v>
      </c>
    </row>
    <row r="17" spans="1:7" x14ac:dyDescent="0.3">
      <c r="A17" s="48">
        <v>1</v>
      </c>
      <c r="B17" s="229">
        <v>2</v>
      </c>
      <c r="C17" s="230"/>
      <c r="D17" s="49">
        <v>3</v>
      </c>
    </row>
    <row r="18" spans="1:7" s="25" customFormat="1" x14ac:dyDescent="0.3">
      <c r="A18" s="223" t="s">
        <v>261</v>
      </c>
      <c r="B18" s="223"/>
      <c r="C18" s="223"/>
      <c r="D18" s="223"/>
    </row>
    <row r="19" spans="1:7" ht="27" customHeight="1" x14ac:dyDescent="0.3">
      <c r="A19" s="117" t="s">
        <v>262</v>
      </c>
      <c r="B19" s="118" t="s">
        <v>71</v>
      </c>
      <c r="C19" s="119"/>
      <c r="D19" s="120">
        <f>SUM(D20)</f>
        <v>45062700</v>
      </c>
    </row>
    <row r="20" spans="1:7" x14ac:dyDescent="0.3">
      <c r="A20" s="121">
        <v>9900000000</v>
      </c>
      <c r="B20" s="122" t="s">
        <v>264</v>
      </c>
      <c r="C20" s="123"/>
      <c r="D20" s="124">
        <v>45062700</v>
      </c>
      <c r="G20" s="176"/>
    </row>
    <row r="21" spans="1:7" ht="37.5" x14ac:dyDescent="0.3">
      <c r="A21" s="117">
        <v>41020300</v>
      </c>
      <c r="B21" s="118" t="s">
        <v>473</v>
      </c>
      <c r="C21" s="125"/>
      <c r="D21" s="120">
        <f>SUM(D22)</f>
        <v>1586000</v>
      </c>
    </row>
    <row r="22" spans="1:7" x14ac:dyDescent="0.3">
      <c r="A22" s="121">
        <v>9900000000</v>
      </c>
      <c r="B22" s="122" t="s">
        <v>264</v>
      </c>
      <c r="C22" s="123"/>
      <c r="D22" s="124">
        <v>1586000</v>
      </c>
    </row>
    <row r="23" spans="1:7" ht="91.15" customHeight="1" x14ac:dyDescent="0.3">
      <c r="A23" s="117">
        <v>41021400</v>
      </c>
      <c r="B23" s="224" t="s">
        <v>501</v>
      </c>
      <c r="C23" s="225"/>
      <c r="D23" s="120">
        <v>357700</v>
      </c>
    </row>
    <row r="24" spans="1:7" x14ac:dyDescent="0.3">
      <c r="A24" s="121" t="s">
        <v>263</v>
      </c>
      <c r="B24" s="122" t="s">
        <v>264</v>
      </c>
      <c r="C24" s="123"/>
      <c r="D24" s="124">
        <v>357700</v>
      </c>
    </row>
    <row r="25" spans="1:7" ht="37.5" x14ac:dyDescent="0.3">
      <c r="A25" s="117" t="s">
        <v>265</v>
      </c>
      <c r="B25" s="118" t="s">
        <v>73</v>
      </c>
      <c r="C25" s="119"/>
      <c r="D25" s="120">
        <f>SUM(D26)</f>
        <v>12021600</v>
      </c>
    </row>
    <row r="26" spans="1:7" x14ac:dyDescent="0.3">
      <c r="A26" s="121" t="s">
        <v>263</v>
      </c>
      <c r="B26" s="122" t="s">
        <v>264</v>
      </c>
      <c r="C26" s="123"/>
      <c r="D26" s="124">
        <v>12021600</v>
      </c>
    </row>
    <row r="27" spans="1:7" ht="56.25" x14ac:dyDescent="0.3">
      <c r="A27" s="117">
        <v>41035400</v>
      </c>
      <c r="B27" s="118" t="s">
        <v>388</v>
      </c>
      <c r="C27" s="119"/>
      <c r="D27" s="120">
        <f>D28</f>
        <v>10500</v>
      </c>
    </row>
    <row r="28" spans="1:7" x14ac:dyDescent="0.3">
      <c r="A28" s="121" t="s">
        <v>263</v>
      </c>
      <c r="B28" s="122" t="s">
        <v>264</v>
      </c>
      <c r="C28" s="123"/>
      <c r="D28" s="124">
        <v>10500</v>
      </c>
    </row>
    <row r="29" spans="1:7" x14ac:dyDescent="0.3">
      <c r="A29" s="121">
        <v>41036300</v>
      </c>
      <c r="B29" s="224" t="s">
        <v>389</v>
      </c>
      <c r="C29" s="225"/>
      <c r="D29" s="120">
        <f>D30</f>
        <v>1262500</v>
      </c>
    </row>
    <row r="30" spans="1:7" x14ac:dyDescent="0.3">
      <c r="A30" s="121" t="s">
        <v>263</v>
      </c>
      <c r="B30" s="122" t="s">
        <v>264</v>
      </c>
      <c r="C30" s="123"/>
      <c r="D30" s="124">
        <v>1262500</v>
      </c>
    </row>
    <row r="31" spans="1:7" ht="75" hidden="1" x14ac:dyDescent="0.3">
      <c r="A31" s="117" t="s">
        <v>266</v>
      </c>
      <c r="B31" s="118" t="s">
        <v>80</v>
      </c>
      <c r="C31" s="119"/>
      <c r="D31" s="120">
        <f>SUM(D32)</f>
        <v>0</v>
      </c>
    </row>
    <row r="32" spans="1:7" hidden="1" x14ac:dyDescent="0.3">
      <c r="A32" s="137" t="s">
        <v>336</v>
      </c>
      <c r="B32" s="126" t="s">
        <v>268</v>
      </c>
      <c r="C32" s="127"/>
      <c r="D32" s="124"/>
    </row>
    <row r="33" spans="1:7" hidden="1" x14ac:dyDescent="0.3">
      <c r="A33" s="117">
        <v>41040400</v>
      </c>
      <c r="B33" s="118" t="s">
        <v>75</v>
      </c>
      <c r="C33" s="119"/>
      <c r="D33" s="120">
        <f>SUM(D34)</f>
        <v>0</v>
      </c>
    </row>
    <row r="34" spans="1:7" hidden="1" x14ac:dyDescent="0.3">
      <c r="A34" s="137" t="s">
        <v>336</v>
      </c>
      <c r="B34" s="122" t="s">
        <v>268</v>
      </c>
      <c r="C34" s="123"/>
      <c r="D34" s="124">
        <v>0</v>
      </c>
    </row>
    <row r="35" spans="1:7" ht="337.5" hidden="1" x14ac:dyDescent="0.3">
      <c r="A35" s="144" t="s">
        <v>352</v>
      </c>
      <c r="B35" s="122" t="s">
        <v>353</v>
      </c>
      <c r="C35" s="123"/>
      <c r="D35" s="120">
        <f>SUM(D36)</f>
        <v>0</v>
      </c>
    </row>
    <row r="36" spans="1:7" hidden="1" x14ac:dyDescent="0.3">
      <c r="A36" s="121" t="s">
        <v>263</v>
      </c>
      <c r="B36" s="122" t="s">
        <v>264</v>
      </c>
      <c r="C36" s="123"/>
      <c r="D36" s="124">
        <v>0</v>
      </c>
    </row>
    <row r="37" spans="1:7" ht="56.25" hidden="1" x14ac:dyDescent="0.3">
      <c r="A37" s="117">
        <v>41051200</v>
      </c>
      <c r="B37" s="118" t="s">
        <v>309</v>
      </c>
      <c r="C37" s="119"/>
      <c r="D37" s="120">
        <f>SUM(D38)</f>
        <v>0</v>
      </c>
    </row>
    <row r="38" spans="1:7" hidden="1" x14ac:dyDescent="0.3">
      <c r="A38" s="137" t="s">
        <v>336</v>
      </c>
      <c r="B38" s="126" t="s">
        <v>268</v>
      </c>
      <c r="C38" s="127"/>
      <c r="D38" s="128">
        <v>0</v>
      </c>
    </row>
    <row r="39" spans="1:7" ht="37.5" hidden="1" x14ac:dyDescent="0.3">
      <c r="A39" s="144" t="s">
        <v>346</v>
      </c>
      <c r="B39" s="145" t="s">
        <v>345</v>
      </c>
      <c r="C39" s="146"/>
      <c r="D39" s="120">
        <f>SUM(D40)</f>
        <v>0</v>
      </c>
    </row>
    <row r="40" spans="1:7" hidden="1" x14ac:dyDescent="0.3">
      <c r="A40" s="137" t="s">
        <v>336</v>
      </c>
      <c r="B40" s="126" t="s">
        <v>268</v>
      </c>
      <c r="C40" s="127"/>
      <c r="D40" s="128"/>
    </row>
    <row r="41" spans="1:7" hidden="1" x14ac:dyDescent="0.3">
      <c r="A41" s="117">
        <v>41053800</v>
      </c>
      <c r="B41" s="250" t="s">
        <v>424</v>
      </c>
      <c r="C41" s="251"/>
      <c r="D41" s="165">
        <v>0</v>
      </c>
    </row>
    <row r="42" spans="1:7" hidden="1" x14ac:dyDescent="0.3">
      <c r="A42" s="137" t="s">
        <v>425</v>
      </c>
      <c r="B42" s="248" t="s">
        <v>426</v>
      </c>
      <c r="C42" s="249"/>
      <c r="D42" s="128">
        <v>0</v>
      </c>
    </row>
    <row r="43" spans="1:7" hidden="1" x14ac:dyDescent="0.3">
      <c r="A43" s="198" t="s">
        <v>427</v>
      </c>
      <c r="B43" s="248" t="s">
        <v>423</v>
      </c>
      <c r="C43" s="249"/>
      <c r="D43" s="128">
        <f>700000-700000</f>
        <v>0</v>
      </c>
    </row>
    <row r="44" spans="1:7" x14ac:dyDescent="0.3">
      <c r="A44" s="117" t="s">
        <v>269</v>
      </c>
      <c r="B44" s="118" t="s">
        <v>77</v>
      </c>
      <c r="C44" s="119"/>
      <c r="D44" s="120">
        <f>D45</f>
        <v>276026</v>
      </c>
    </row>
    <row r="45" spans="1:7" x14ac:dyDescent="0.3">
      <c r="A45" s="137" t="s">
        <v>336</v>
      </c>
      <c r="B45" s="126" t="s">
        <v>268</v>
      </c>
      <c r="C45" s="127"/>
      <c r="D45" s="128">
        <f>D48+D51+D53+D54+D58+D47</f>
        <v>276026</v>
      </c>
    </row>
    <row r="46" spans="1:7" s="52" customFormat="1" ht="68.25" hidden="1" customHeight="1" x14ac:dyDescent="0.3">
      <c r="A46" s="129" t="s">
        <v>269</v>
      </c>
      <c r="B46" s="242" t="s">
        <v>270</v>
      </c>
      <c r="C46" s="252"/>
      <c r="D46" s="130">
        <v>0</v>
      </c>
      <c r="G46" s="154"/>
    </row>
    <row r="47" spans="1:7" s="52" customFormat="1" ht="109.9" customHeight="1" x14ac:dyDescent="0.3">
      <c r="A47" s="50" t="s">
        <v>269</v>
      </c>
      <c r="B47" s="242" t="s">
        <v>506</v>
      </c>
      <c r="C47" s="239"/>
      <c r="D47" s="130">
        <v>158340</v>
      </c>
      <c r="G47" s="154"/>
    </row>
    <row r="48" spans="1:7" s="52" customFormat="1" ht="167.25" customHeight="1" x14ac:dyDescent="0.3">
      <c r="A48" s="50" t="s">
        <v>269</v>
      </c>
      <c r="B48" s="234" t="s">
        <v>270</v>
      </c>
      <c r="C48" s="235"/>
      <c r="D48" s="51">
        <f>3825+15651</f>
        <v>19476</v>
      </c>
      <c r="G48" s="154"/>
    </row>
    <row r="49" spans="1:9" s="52" customFormat="1" ht="99" hidden="1" customHeight="1" x14ac:dyDescent="0.3">
      <c r="A49" s="50">
        <v>41053900</v>
      </c>
      <c r="B49" s="234" t="s">
        <v>354</v>
      </c>
      <c r="C49" s="239"/>
      <c r="D49" s="51">
        <v>0</v>
      </c>
      <c r="G49" s="154"/>
    </row>
    <row r="50" spans="1:9" s="52" customFormat="1" ht="52.5" hidden="1" customHeight="1" x14ac:dyDescent="0.3">
      <c r="A50" s="158" t="s">
        <v>269</v>
      </c>
      <c r="B50" s="234" t="s">
        <v>271</v>
      </c>
      <c r="C50" s="235"/>
      <c r="D50" s="51">
        <v>0</v>
      </c>
      <c r="G50" s="154"/>
    </row>
    <row r="51" spans="1:9" s="52" customFormat="1" ht="150.75" customHeight="1" x14ac:dyDescent="0.3">
      <c r="A51" s="158">
        <v>41053900</v>
      </c>
      <c r="B51" s="234" t="s">
        <v>474</v>
      </c>
      <c r="C51" s="239"/>
      <c r="D51" s="51">
        <v>12210</v>
      </c>
      <c r="G51" s="154"/>
    </row>
    <row r="52" spans="1:9" s="52" customFormat="1" hidden="1" x14ac:dyDescent="0.3">
      <c r="A52" s="66">
        <v>41059200</v>
      </c>
      <c r="B52" s="240" t="s">
        <v>356</v>
      </c>
      <c r="C52" s="241"/>
      <c r="D52" s="161">
        <v>0</v>
      </c>
      <c r="I52" s="160"/>
    </row>
    <row r="53" spans="1:9" s="52" customFormat="1" ht="78.75" customHeight="1" x14ac:dyDescent="0.3">
      <c r="A53" s="168" t="s">
        <v>269</v>
      </c>
      <c r="B53" s="242" t="s">
        <v>371</v>
      </c>
      <c r="C53" s="243"/>
      <c r="D53" s="167">
        <v>50000</v>
      </c>
    </row>
    <row r="54" spans="1:9" s="52" customFormat="1" ht="80.25" customHeight="1" x14ac:dyDescent="0.3">
      <c r="A54" s="168" t="s">
        <v>269</v>
      </c>
      <c r="B54" s="244" t="s">
        <v>372</v>
      </c>
      <c r="C54" s="245"/>
      <c r="D54" s="167">
        <v>6000</v>
      </c>
    </row>
    <row r="55" spans="1:9" s="52" customFormat="1" ht="80.25" hidden="1" customHeight="1" x14ac:dyDescent="0.3">
      <c r="A55" s="168" t="s">
        <v>269</v>
      </c>
      <c r="B55" s="244" t="s">
        <v>429</v>
      </c>
      <c r="C55" s="245"/>
      <c r="D55" s="167">
        <v>0</v>
      </c>
    </row>
    <row r="56" spans="1:9" s="52" customFormat="1" ht="24.6" hidden="1" customHeight="1" x14ac:dyDescent="0.3">
      <c r="A56" s="117" t="s">
        <v>269</v>
      </c>
      <c r="B56" s="118" t="s">
        <v>77</v>
      </c>
      <c r="C56" s="119"/>
      <c r="D56" s="200">
        <v>0</v>
      </c>
    </row>
    <row r="57" spans="1:9" s="52" customFormat="1" ht="44.45" hidden="1" customHeight="1" x14ac:dyDescent="0.3">
      <c r="A57" s="137" t="s">
        <v>428</v>
      </c>
      <c r="B57" s="248" t="s">
        <v>434</v>
      </c>
      <c r="C57" s="249"/>
      <c r="D57" s="199">
        <v>0</v>
      </c>
    </row>
    <row r="58" spans="1:9" s="52" customFormat="1" ht="88.9" customHeight="1" x14ac:dyDescent="0.3">
      <c r="A58" s="168" t="s">
        <v>269</v>
      </c>
      <c r="B58" s="246" t="s">
        <v>502</v>
      </c>
      <c r="C58" s="247"/>
      <c r="D58" s="159">
        <f>315000-285000</f>
        <v>30000</v>
      </c>
    </row>
    <row r="59" spans="1:9" s="25" customFormat="1" x14ac:dyDescent="0.3">
      <c r="A59" s="236" t="s">
        <v>272</v>
      </c>
      <c r="B59" s="237"/>
      <c r="C59" s="237"/>
      <c r="D59" s="238"/>
    </row>
    <row r="60" spans="1:9" s="25" customFormat="1" ht="64.150000000000006" hidden="1" customHeight="1" x14ac:dyDescent="0.3">
      <c r="A60" s="201">
        <v>41035400</v>
      </c>
      <c r="B60" s="253" t="s">
        <v>388</v>
      </c>
      <c r="C60" s="254"/>
      <c r="D60" s="120">
        <f>SUM(D61)</f>
        <v>0</v>
      </c>
    </row>
    <row r="61" spans="1:9" s="25" customFormat="1" hidden="1" x14ac:dyDescent="0.3">
      <c r="A61" s="121" t="s">
        <v>263</v>
      </c>
      <c r="B61" s="122" t="s">
        <v>264</v>
      </c>
      <c r="C61" s="123"/>
      <c r="D61" s="128">
        <v>0</v>
      </c>
    </row>
    <row r="62" spans="1:9" s="25" customFormat="1" ht="37.5" hidden="1" x14ac:dyDescent="0.3">
      <c r="A62" s="144" t="s">
        <v>346</v>
      </c>
      <c r="B62" s="145" t="s">
        <v>345</v>
      </c>
      <c r="C62" s="146"/>
      <c r="D62" s="120">
        <f>SUM(D63)</f>
        <v>0</v>
      </c>
    </row>
    <row r="63" spans="1:9" s="25" customFormat="1" hidden="1" x14ac:dyDescent="0.3">
      <c r="A63" s="137" t="s">
        <v>336</v>
      </c>
      <c r="B63" s="126" t="s">
        <v>268</v>
      </c>
      <c r="C63" s="127"/>
      <c r="D63" s="128">
        <v>0</v>
      </c>
    </row>
    <row r="64" spans="1:9" s="25" customFormat="1" hidden="1" x14ac:dyDescent="0.3">
      <c r="A64" s="66">
        <v>41059200</v>
      </c>
      <c r="B64" s="240" t="s">
        <v>356</v>
      </c>
      <c r="C64" s="241"/>
      <c r="D64" s="161">
        <v>0</v>
      </c>
    </row>
    <row r="65" spans="1:4" s="25" customFormat="1" hidden="1" x14ac:dyDescent="0.3">
      <c r="A65" s="137" t="s">
        <v>336</v>
      </c>
      <c r="B65" s="126" t="s">
        <v>268</v>
      </c>
      <c r="C65" s="127"/>
      <c r="D65" s="159">
        <v>0</v>
      </c>
    </row>
    <row r="66" spans="1:4" s="25" customFormat="1" hidden="1" x14ac:dyDescent="0.3">
      <c r="A66" s="117">
        <v>41053800</v>
      </c>
      <c r="B66" s="250" t="s">
        <v>424</v>
      </c>
      <c r="C66" s="251"/>
      <c r="D66" s="165"/>
    </row>
    <row r="67" spans="1:4" s="25" customFormat="1" ht="36.6" hidden="1" customHeight="1" x14ac:dyDescent="0.3">
      <c r="A67" s="137" t="s">
        <v>425</v>
      </c>
      <c r="B67" s="248" t="s">
        <v>433</v>
      </c>
      <c r="C67" s="249"/>
      <c r="D67" s="128">
        <v>0</v>
      </c>
    </row>
    <row r="68" spans="1:4" s="25" customFormat="1" ht="94.15" hidden="1" customHeight="1" x14ac:dyDescent="0.3">
      <c r="A68" s="198" t="s">
        <v>427</v>
      </c>
      <c r="B68" s="248" t="s">
        <v>423</v>
      </c>
      <c r="C68" s="249"/>
      <c r="D68" s="128">
        <v>0</v>
      </c>
    </row>
    <row r="69" spans="1:4" x14ac:dyDescent="0.3">
      <c r="A69" s="53" t="s">
        <v>79</v>
      </c>
      <c r="B69" s="54" t="s">
        <v>273</v>
      </c>
      <c r="C69" s="55"/>
      <c r="D69" s="56">
        <f>SUM(D70:D71)</f>
        <v>60577026</v>
      </c>
    </row>
    <row r="70" spans="1:4" x14ac:dyDescent="0.3">
      <c r="A70" s="53" t="s">
        <v>79</v>
      </c>
      <c r="B70" s="54" t="s">
        <v>274</v>
      </c>
      <c r="C70" s="55"/>
      <c r="D70" s="56">
        <f>D19+D21+D25+D31+D44+D27+D29+D41+D23</f>
        <v>60577026</v>
      </c>
    </row>
    <row r="71" spans="1:4" x14ac:dyDescent="0.3">
      <c r="A71" s="53" t="s">
        <v>79</v>
      </c>
      <c r="B71" s="54" t="s">
        <v>275</v>
      </c>
      <c r="C71" s="55"/>
      <c r="D71" s="56">
        <f>D63+D66+D60</f>
        <v>0</v>
      </c>
    </row>
    <row r="73" spans="1:4" x14ac:dyDescent="0.3">
      <c r="A73" s="45" t="s">
        <v>276</v>
      </c>
      <c r="D73" s="8" t="s">
        <v>2</v>
      </c>
    </row>
    <row r="74" spans="1:4" ht="150" x14ac:dyDescent="0.3">
      <c r="A74" s="57" t="s">
        <v>277</v>
      </c>
      <c r="B74" s="57" t="s">
        <v>278</v>
      </c>
      <c r="C74" s="57" t="s">
        <v>279</v>
      </c>
      <c r="D74" s="57" t="s">
        <v>5</v>
      </c>
    </row>
    <row r="75" spans="1:4" x14ac:dyDescent="0.3">
      <c r="A75" s="58">
        <v>1</v>
      </c>
      <c r="B75" s="58">
        <v>2</v>
      </c>
      <c r="C75" s="58">
        <v>3</v>
      </c>
      <c r="D75" s="58">
        <v>4</v>
      </c>
    </row>
    <row r="76" spans="1:4" s="25" customFormat="1" x14ac:dyDescent="0.3">
      <c r="A76" s="232" t="s">
        <v>280</v>
      </c>
      <c r="B76" s="232"/>
      <c r="C76" s="232"/>
      <c r="D76" s="232"/>
    </row>
    <row r="77" spans="1:4" hidden="1" x14ac:dyDescent="0.3">
      <c r="A77" s="59" t="s">
        <v>255</v>
      </c>
      <c r="B77" s="59" t="s">
        <v>256</v>
      </c>
      <c r="C77" s="60" t="s">
        <v>77</v>
      </c>
      <c r="D77" s="61">
        <f>D78</f>
        <v>0</v>
      </c>
    </row>
    <row r="78" spans="1:4" hidden="1" x14ac:dyDescent="0.3">
      <c r="A78" s="62" t="s">
        <v>263</v>
      </c>
      <c r="B78" s="62" t="s">
        <v>129</v>
      </c>
      <c r="C78" s="63" t="s">
        <v>264</v>
      </c>
      <c r="D78" s="64">
        <f>SUM(D79:D81)</f>
        <v>0</v>
      </c>
    </row>
    <row r="79" spans="1:4" ht="225" hidden="1" x14ac:dyDescent="0.3">
      <c r="A79" s="62"/>
      <c r="B79" s="62"/>
      <c r="C79" s="65" t="s">
        <v>281</v>
      </c>
      <c r="D79" s="64"/>
    </row>
    <row r="80" spans="1:4" ht="131.25" hidden="1" x14ac:dyDescent="0.3">
      <c r="A80" s="62"/>
      <c r="B80" s="62"/>
      <c r="C80" s="65" t="s">
        <v>282</v>
      </c>
      <c r="D80" s="64"/>
    </row>
    <row r="81" spans="1:14" ht="131.25" hidden="1" x14ac:dyDescent="0.3">
      <c r="A81" s="62"/>
      <c r="B81" s="62"/>
      <c r="C81" s="65" t="s">
        <v>283</v>
      </c>
      <c r="D81" s="64"/>
    </row>
    <row r="82" spans="1:14" x14ac:dyDescent="0.3">
      <c r="A82" s="59" t="s">
        <v>255</v>
      </c>
      <c r="B82" s="59" t="s">
        <v>256</v>
      </c>
      <c r="C82" s="60" t="s">
        <v>77</v>
      </c>
      <c r="D82" s="61">
        <f>D83+D87+D93+D96</f>
        <v>3919156.31</v>
      </c>
    </row>
    <row r="83" spans="1:14" ht="19.5" x14ac:dyDescent="0.3">
      <c r="A83" s="169" t="s">
        <v>267</v>
      </c>
      <c r="B83" s="169" t="s">
        <v>256</v>
      </c>
      <c r="C83" s="170" t="s">
        <v>268</v>
      </c>
      <c r="D83" s="184">
        <f>D84+D85</f>
        <v>1486600</v>
      </c>
    </row>
    <row r="84" spans="1:14" ht="93.75" hidden="1" x14ac:dyDescent="0.3">
      <c r="A84" s="169"/>
      <c r="B84" s="169"/>
      <c r="C84" s="172" t="s">
        <v>462</v>
      </c>
      <c r="D84" s="171">
        <f>950800-950800</f>
        <v>0</v>
      </c>
    </row>
    <row r="85" spans="1:14" s="98" customFormat="1" ht="81" customHeight="1" x14ac:dyDescent="0.3">
      <c r="A85" s="109" t="s">
        <v>323</v>
      </c>
      <c r="B85" s="110">
        <v>9770</v>
      </c>
      <c r="C85" s="213" t="s">
        <v>504</v>
      </c>
      <c r="D85" s="116">
        <f>535800+950800</f>
        <v>1486600</v>
      </c>
    </row>
    <row r="86" spans="1:14" s="98" customFormat="1" hidden="1" x14ac:dyDescent="0.3">
      <c r="A86" s="169"/>
      <c r="B86" s="169"/>
      <c r="C86" s="170"/>
      <c r="D86" s="116"/>
    </row>
    <row r="87" spans="1:14" s="103" customFormat="1" ht="39" x14ac:dyDescent="0.35">
      <c r="A87" s="99" t="s">
        <v>337</v>
      </c>
      <c r="B87" s="100">
        <v>9770</v>
      </c>
      <c r="C87" s="101" t="s">
        <v>284</v>
      </c>
      <c r="D87" s="102">
        <f>D89+D90+D91+D92</f>
        <v>120600</v>
      </c>
    </row>
    <row r="88" spans="1:14" s="108" customFormat="1" x14ac:dyDescent="0.3">
      <c r="A88" s="104"/>
      <c r="B88" s="105"/>
      <c r="C88" s="106" t="s">
        <v>324</v>
      </c>
      <c r="D88" s="107"/>
      <c r="E88" s="98"/>
      <c r="L88" s="98"/>
      <c r="N88" s="98"/>
    </row>
    <row r="89" spans="1:14" s="113" customFormat="1" ht="75" x14ac:dyDescent="0.3">
      <c r="A89" s="173" t="s">
        <v>323</v>
      </c>
      <c r="B89" s="174">
        <v>9770</v>
      </c>
      <c r="C89" s="175" t="s">
        <v>447</v>
      </c>
      <c r="D89" s="116">
        <v>100600</v>
      </c>
    </row>
    <row r="90" spans="1:14" s="113" customFormat="1" ht="63" hidden="1" customHeight="1" x14ac:dyDescent="0.25">
      <c r="A90" s="109" t="s">
        <v>323</v>
      </c>
      <c r="B90" s="110">
        <v>9770</v>
      </c>
      <c r="C90" s="111" t="s">
        <v>363</v>
      </c>
      <c r="D90" s="112">
        <v>0</v>
      </c>
    </row>
    <row r="91" spans="1:14" s="113" customFormat="1" ht="111.75" customHeight="1" x14ac:dyDescent="0.3">
      <c r="A91" s="173" t="s">
        <v>323</v>
      </c>
      <c r="B91" s="174">
        <v>9770</v>
      </c>
      <c r="C91" s="175" t="s">
        <v>448</v>
      </c>
      <c r="D91" s="116">
        <v>20000</v>
      </c>
    </row>
    <row r="92" spans="1:14" s="113" customFormat="1" ht="171" hidden="1" customHeight="1" x14ac:dyDescent="0.3">
      <c r="A92" s="173" t="s">
        <v>323</v>
      </c>
      <c r="B92" s="174">
        <v>9770</v>
      </c>
      <c r="C92" s="175" t="s">
        <v>375</v>
      </c>
      <c r="D92" s="116">
        <v>0</v>
      </c>
    </row>
    <row r="93" spans="1:14" s="113" customFormat="1" ht="38.25" customHeight="1" x14ac:dyDescent="0.35">
      <c r="A93" s="99" t="s">
        <v>373</v>
      </c>
      <c r="B93" s="100">
        <v>9770</v>
      </c>
      <c r="C93" s="101" t="s">
        <v>374</v>
      </c>
      <c r="D93" s="102">
        <f>D94</f>
        <v>2226400</v>
      </c>
    </row>
    <row r="94" spans="1:14" s="113" customFormat="1" ht="87.75" customHeight="1" x14ac:dyDescent="0.3">
      <c r="A94" s="173" t="s">
        <v>323</v>
      </c>
      <c r="B94" s="174">
        <v>9770</v>
      </c>
      <c r="C94" s="175" t="s">
        <v>463</v>
      </c>
      <c r="D94" s="116">
        <f>2060700+165700</f>
        <v>2226400</v>
      </c>
    </row>
    <row r="95" spans="1:14" s="113" customFormat="1" ht="99.6" hidden="1" customHeight="1" x14ac:dyDescent="0.3">
      <c r="A95" s="173" t="s">
        <v>323</v>
      </c>
      <c r="B95" s="174">
        <v>9770</v>
      </c>
      <c r="C95" s="175" t="s">
        <v>418</v>
      </c>
      <c r="D95" s="116">
        <v>0</v>
      </c>
    </row>
    <row r="96" spans="1:14" s="113" customFormat="1" ht="39" x14ac:dyDescent="0.35">
      <c r="A96" s="99" t="s">
        <v>491</v>
      </c>
      <c r="B96" s="100">
        <v>9770</v>
      </c>
      <c r="C96" s="101" t="s">
        <v>492</v>
      </c>
      <c r="D96" s="102">
        <f>D97</f>
        <v>85556.31</v>
      </c>
    </row>
    <row r="97" spans="1:14" s="113" customFormat="1" ht="75" x14ac:dyDescent="0.3">
      <c r="A97" s="173" t="s">
        <v>323</v>
      </c>
      <c r="B97" s="174">
        <v>9770</v>
      </c>
      <c r="C97" s="175" t="s">
        <v>500</v>
      </c>
      <c r="D97" s="116">
        <v>85556.31</v>
      </c>
    </row>
    <row r="98" spans="1:14" s="113" customFormat="1" ht="19.5" x14ac:dyDescent="0.3">
      <c r="A98" s="94" t="s">
        <v>325</v>
      </c>
      <c r="B98" s="95">
        <v>9150</v>
      </c>
      <c r="C98" s="96" t="s">
        <v>75</v>
      </c>
      <c r="D98" s="102">
        <f>D101+D103+D107</f>
        <v>5029900</v>
      </c>
    </row>
    <row r="99" spans="1:14" s="113" customFormat="1" ht="24.75" hidden="1" customHeight="1" x14ac:dyDescent="0.25">
      <c r="A99" s="182" t="s">
        <v>267</v>
      </c>
      <c r="B99" s="182">
        <v>9150</v>
      </c>
      <c r="C99" s="183" t="s">
        <v>268</v>
      </c>
      <c r="D99" s="102">
        <v>2053200</v>
      </c>
    </row>
    <row r="100" spans="1:14" s="113" customFormat="1" ht="112.5" hidden="1" x14ac:dyDescent="0.25">
      <c r="A100" s="169"/>
      <c r="B100" s="169"/>
      <c r="C100" s="181" t="s">
        <v>393</v>
      </c>
      <c r="D100" s="116">
        <v>0</v>
      </c>
    </row>
    <row r="101" spans="1:14" s="113" customFormat="1" ht="19.5" x14ac:dyDescent="0.25">
      <c r="A101" s="182" t="s">
        <v>267</v>
      </c>
      <c r="B101" s="182">
        <v>9150</v>
      </c>
      <c r="C101" s="183" t="s">
        <v>268</v>
      </c>
      <c r="D101" s="102">
        <f>D102</f>
        <v>4799900</v>
      </c>
    </row>
    <row r="102" spans="1:14" s="113" customFormat="1" ht="56.25" x14ac:dyDescent="0.3">
      <c r="A102" s="94"/>
      <c r="B102" s="95"/>
      <c r="C102" s="175" t="s">
        <v>435</v>
      </c>
      <c r="D102" s="97">
        <v>4799900</v>
      </c>
    </row>
    <row r="103" spans="1:14" s="114" customFormat="1" ht="39" x14ac:dyDescent="0.35">
      <c r="A103" s="99" t="s">
        <v>337</v>
      </c>
      <c r="B103" s="100">
        <v>9150</v>
      </c>
      <c r="C103" s="101" t="s">
        <v>284</v>
      </c>
      <c r="D103" s="102">
        <f>SUM(D105:D106)</f>
        <v>180000</v>
      </c>
    </row>
    <row r="104" spans="1:14" s="113" customFormat="1" x14ac:dyDescent="0.3">
      <c r="A104" s="104"/>
      <c r="B104" s="105"/>
      <c r="C104" s="106" t="s">
        <v>324</v>
      </c>
      <c r="D104" s="107"/>
    </row>
    <row r="105" spans="1:14" s="113" customFormat="1" ht="281.25" x14ac:dyDescent="0.3">
      <c r="A105" s="173" t="s">
        <v>325</v>
      </c>
      <c r="B105" s="174">
        <v>9150</v>
      </c>
      <c r="C105" s="175" t="s">
        <v>449</v>
      </c>
      <c r="D105" s="107">
        <v>150000</v>
      </c>
    </row>
    <row r="106" spans="1:14" s="113" customFormat="1" ht="77.25" customHeight="1" x14ac:dyDescent="0.3">
      <c r="A106" s="173" t="s">
        <v>325</v>
      </c>
      <c r="B106" s="174">
        <v>9150</v>
      </c>
      <c r="C106" s="175" t="s">
        <v>450</v>
      </c>
      <c r="D106" s="107">
        <v>30000</v>
      </c>
    </row>
    <row r="107" spans="1:14" s="113" customFormat="1" ht="77.25" customHeight="1" x14ac:dyDescent="0.35">
      <c r="A107" s="99" t="s">
        <v>505</v>
      </c>
      <c r="B107" s="100">
        <v>9150</v>
      </c>
      <c r="C107" s="101" t="s">
        <v>492</v>
      </c>
      <c r="D107" s="97">
        <v>50000</v>
      </c>
    </row>
    <row r="108" spans="1:14" s="113" customFormat="1" ht="17.45" customHeight="1" x14ac:dyDescent="0.3">
      <c r="A108" s="104"/>
      <c r="B108" s="105"/>
      <c r="C108" s="106" t="s">
        <v>324</v>
      </c>
      <c r="D108" s="107">
        <v>50000</v>
      </c>
    </row>
    <row r="109" spans="1:14" s="113" customFormat="1" ht="160.9" customHeight="1" x14ac:dyDescent="0.3">
      <c r="A109" s="173"/>
      <c r="B109" s="174"/>
      <c r="C109" s="175" t="s">
        <v>507</v>
      </c>
      <c r="D109" s="107">
        <v>50000</v>
      </c>
    </row>
    <row r="110" spans="1:14" s="98" customFormat="1" ht="75" x14ac:dyDescent="0.3">
      <c r="A110" s="94" t="s">
        <v>326</v>
      </c>
      <c r="B110" s="95">
        <v>9800</v>
      </c>
      <c r="C110" s="96" t="s">
        <v>131</v>
      </c>
      <c r="D110" s="97">
        <f>D111</f>
        <v>650000</v>
      </c>
    </row>
    <row r="111" spans="1:14" s="103" customFormat="1" ht="19.5" x14ac:dyDescent="0.35">
      <c r="A111" s="99" t="s">
        <v>338</v>
      </c>
      <c r="B111" s="100">
        <v>9800</v>
      </c>
      <c r="C111" s="101" t="s">
        <v>264</v>
      </c>
      <c r="D111" s="102">
        <f>D113+D114+D115</f>
        <v>650000</v>
      </c>
    </row>
    <row r="112" spans="1:14" s="108" customFormat="1" x14ac:dyDescent="0.3">
      <c r="A112" s="104"/>
      <c r="B112" s="105"/>
      <c r="C112" s="106" t="s">
        <v>324</v>
      </c>
      <c r="D112" s="107"/>
      <c r="E112" s="98"/>
      <c r="L112" s="98"/>
      <c r="N112" s="98"/>
    </row>
    <row r="113" spans="1:14" s="113" customFormat="1" ht="79.5" x14ac:dyDescent="0.3">
      <c r="A113" s="104" t="s">
        <v>326</v>
      </c>
      <c r="B113" s="115">
        <v>9800</v>
      </c>
      <c r="C113" s="111" t="s">
        <v>482</v>
      </c>
      <c r="D113" s="159">
        <v>200000</v>
      </c>
    </row>
    <row r="114" spans="1:14" s="113" customFormat="1" ht="63" x14ac:dyDescent="0.25">
      <c r="A114" s="109" t="s">
        <v>326</v>
      </c>
      <c r="B114" s="110">
        <v>9800</v>
      </c>
      <c r="C114" s="111" t="s">
        <v>497</v>
      </c>
      <c r="D114" s="116">
        <v>450000</v>
      </c>
    </row>
    <row r="115" spans="1:14" s="113" customFormat="1" ht="158.25" hidden="1" x14ac:dyDescent="0.3">
      <c r="A115" s="173" t="s">
        <v>326</v>
      </c>
      <c r="B115" s="174">
        <v>9800</v>
      </c>
      <c r="C115" s="111" t="s">
        <v>412</v>
      </c>
      <c r="D115" s="163">
        <v>0</v>
      </c>
    </row>
    <row r="116" spans="1:14" s="25" customFormat="1" hidden="1" x14ac:dyDescent="0.3">
      <c r="A116" s="232" t="s">
        <v>285</v>
      </c>
      <c r="B116" s="232"/>
      <c r="C116" s="232"/>
      <c r="D116" s="233"/>
    </row>
    <row r="117" spans="1:14" ht="75" hidden="1" x14ac:dyDescent="0.3">
      <c r="A117" s="66" t="s">
        <v>128</v>
      </c>
      <c r="B117" s="66" t="s">
        <v>129</v>
      </c>
      <c r="C117" s="67" t="s">
        <v>131</v>
      </c>
      <c r="D117" s="61">
        <v>0</v>
      </c>
    </row>
    <row r="118" spans="1:14" ht="19.5" hidden="1" x14ac:dyDescent="0.35">
      <c r="A118" s="99" t="s">
        <v>338</v>
      </c>
      <c r="B118" s="100">
        <v>9800</v>
      </c>
      <c r="C118" s="101" t="s">
        <v>264</v>
      </c>
      <c r="D118" s="64">
        <v>0</v>
      </c>
    </row>
    <row r="119" spans="1:14" hidden="1" x14ac:dyDescent="0.3">
      <c r="A119" s="104"/>
      <c r="B119" s="105"/>
      <c r="C119" s="106" t="s">
        <v>324</v>
      </c>
      <c r="D119" s="61">
        <v>0</v>
      </c>
    </row>
    <row r="120" spans="1:14" ht="79.5" hidden="1" x14ac:dyDescent="0.3">
      <c r="A120" s="104" t="s">
        <v>326</v>
      </c>
      <c r="B120" s="115">
        <v>9800</v>
      </c>
      <c r="C120" s="111" t="s">
        <v>482</v>
      </c>
      <c r="D120" s="159">
        <v>0</v>
      </c>
    </row>
    <row r="121" spans="1:14" s="98" customFormat="1" ht="75" hidden="1" x14ac:dyDescent="0.3">
      <c r="A121" s="94" t="s">
        <v>326</v>
      </c>
      <c r="B121" s="95">
        <v>9800</v>
      </c>
      <c r="C121" s="96" t="s">
        <v>131</v>
      </c>
      <c r="D121" s="97">
        <f>D122</f>
        <v>0</v>
      </c>
    </row>
    <row r="122" spans="1:14" s="98" customFormat="1" ht="19.5" hidden="1" x14ac:dyDescent="0.35">
      <c r="A122" s="99" t="s">
        <v>338</v>
      </c>
      <c r="B122" s="100">
        <v>9800</v>
      </c>
      <c r="C122" s="101" t="s">
        <v>264</v>
      </c>
      <c r="D122" s="97">
        <f>SUM(D124)</f>
        <v>0</v>
      </c>
    </row>
    <row r="123" spans="1:14" s="108" customFormat="1" hidden="1" x14ac:dyDescent="0.3">
      <c r="A123" s="104"/>
      <c r="B123" s="105"/>
      <c r="C123" s="106" t="s">
        <v>324</v>
      </c>
      <c r="D123" s="107"/>
      <c r="E123" s="98"/>
      <c r="L123" s="98"/>
      <c r="N123" s="98"/>
    </row>
    <row r="124" spans="1:14" s="108" customFormat="1" ht="63.75" hidden="1" x14ac:dyDescent="0.3">
      <c r="A124" s="104" t="s">
        <v>326</v>
      </c>
      <c r="B124" s="115">
        <v>9800</v>
      </c>
      <c r="C124" s="111" t="s">
        <v>497</v>
      </c>
      <c r="D124" s="116">
        <v>0</v>
      </c>
      <c r="E124" s="98"/>
      <c r="L124" s="98"/>
      <c r="N124" s="98"/>
    </row>
    <row r="125" spans="1:14" s="108" customFormat="1" hidden="1" x14ac:dyDescent="0.3">
      <c r="A125" s="104"/>
      <c r="B125" s="115"/>
      <c r="C125" s="111"/>
      <c r="D125" s="116"/>
      <c r="E125" s="98"/>
      <c r="L125" s="98"/>
      <c r="N125" s="98"/>
    </row>
    <row r="126" spans="1:14" x14ac:dyDescent="0.3">
      <c r="A126" s="68" t="s">
        <v>79</v>
      </c>
      <c r="B126" s="68" t="s">
        <v>79</v>
      </c>
      <c r="C126" s="54" t="s">
        <v>273</v>
      </c>
      <c r="D126" s="69">
        <f>D127+D128</f>
        <v>9599056.3100000005</v>
      </c>
    </row>
    <row r="127" spans="1:14" x14ac:dyDescent="0.3">
      <c r="A127" s="68" t="s">
        <v>79</v>
      </c>
      <c r="B127" s="68" t="s">
        <v>79</v>
      </c>
      <c r="C127" s="54" t="s">
        <v>274</v>
      </c>
      <c r="D127" s="69">
        <f>D110+D98+D82</f>
        <v>9599056.3100000005</v>
      </c>
    </row>
    <row r="128" spans="1:14" x14ac:dyDescent="0.3">
      <c r="A128" s="68" t="s">
        <v>79</v>
      </c>
      <c r="B128" s="68" t="s">
        <v>79</v>
      </c>
      <c r="C128" s="54" t="s">
        <v>275</v>
      </c>
      <c r="D128" s="69">
        <f>SUM(D117+D119+D121)</f>
        <v>0</v>
      </c>
    </row>
    <row r="129" spans="1:7" x14ac:dyDescent="0.3">
      <c r="G129" s="176"/>
    </row>
    <row r="131" spans="1:7" x14ac:dyDescent="0.3">
      <c r="A131" s="7" t="s">
        <v>81</v>
      </c>
      <c r="D131" s="7" t="s">
        <v>82</v>
      </c>
    </row>
    <row r="132" spans="1:7" x14ac:dyDescent="0.3">
      <c r="A132" s="26"/>
      <c r="D132" s="26"/>
    </row>
    <row r="135" spans="1:7" x14ac:dyDescent="0.3">
      <c r="A135" s="26"/>
      <c r="D135" s="177"/>
    </row>
    <row r="136" spans="1:7" x14ac:dyDescent="0.3">
      <c r="A136" s="26"/>
      <c r="D136" s="26"/>
    </row>
  </sheetData>
  <mergeCells count="36">
    <mergeCell ref="B66:C66"/>
    <mergeCell ref="B41:C41"/>
    <mergeCell ref="B42:C42"/>
    <mergeCell ref="B43:C43"/>
    <mergeCell ref="B46:C46"/>
    <mergeCell ref="B60:C60"/>
    <mergeCell ref="B47:C47"/>
    <mergeCell ref="A116:D116"/>
    <mergeCell ref="B48:C48"/>
    <mergeCell ref="B50:C50"/>
    <mergeCell ref="A59:D59"/>
    <mergeCell ref="A76:D76"/>
    <mergeCell ref="B49:C49"/>
    <mergeCell ref="B52:C52"/>
    <mergeCell ref="B64:C64"/>
    <mergeCell ref="B51:C51"/>
    <mergeCell ref="B53:C53"/>
    <mergeCell ref="B54:C54"/>
    <mergeCell ref="B58:C58"/>
    <mergeCell ref="B67:C67"/>
    <mergeCell ref="B68:C68"/>
    <mergeCell ref="B57:C57"/>
    <mergeCell ref="B55:C55"/>
    <mergeCell ref="C1:D1"/>
    <mergeCell ref="C2:D2"/>
    <mergeCell ref="C3:D3"/>
    <mergeCell ref="C4:D4"/>
    <mergeCell ref="C5:D5"/>
    <mergeCell ref="A18:D18"/>
    <mergeCell ref="B23:C23"/>
    <mergeCell ref="B29:C29"/>
    <mergeCell ref="A11:D11"/>
    <mergeCell ref="A12:D12"/>
    <mergeCell ref="A13:D13"/>
    <mergeCell ref="B16:C16"/>
    <mergeCell ref="B17:C17"/>
  </mergeCells>
  <printOptions horizontalCentered="1"/>
  <pageMargins left="0.39370078740157483" right="0.19685039370078741" top="0.39370078740157483" bottom="0.39370078740157483" header="0" footer="0"/>
  <pageSetup paperSize="9" scale="48" fitToHeight="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J109"/>
  <sheetViews>
    <sheetView zoomScale="60" zoomScaleNormal="60" workbookViewId="0">
      <selection activeCell="A11" sqref="A11:J11"/>
    </sheetView>
  </sheetViews>
  <sheetFormatPr defaultColWidth="9.140625" defaultRowHeight="18.75" x14ac:dyDescent="0.3"/>
  <cols>
    <col min="1" max="1" width="17.42578125" style="70" customWidth="1"/>
    <col min="2" max="2" width="16.85546875" style="70" customWidth="1"/>
    <col min="3" max="3" width="20" style="70" customWidth="1"/>
    <col min="4" max="5" width="40.7109375" style="70" customWidth="1"/>
    <col min="6" max="6" width="21.85546875" style="70" customWidth="1"/>
    <col min="7" max="7" width="21.140625" style="70" customWidth="1"/>
    <col min="8" max="8" width="21.5703125" style="70" customWidth="1"/>
    <col min="9" max="9" width="16.42578125" style="70" bestFit="1" customWidth="1"/>
    <col min="10" max="10" width="15.7109375" style="70" customWidth="1"/>
    <col min="11" max="16384" width="9.140625" style="70"/>
  </cols>
  <sheetData>
    <row r="1" spans="1:10" x14ac:dyDescent="0.3">
      <c r="G1" s="70" t="s">
        <v>329</v>
      </c>
    </row>
    <row r="2" spans="1:10" x14ac:dyDescent="0.3">
      <c r="G2" s="70" t="s">
        <v>305</v>
      </c>
    </row>
    <row r="3" spans="1:10" x14ac:dyDescent="0.3">
      <c r="B3" s="70" t="s">
        <v>417</v>
      </c>
      <c r="G3" s="70" t="s">
        <v>86</v>
      </c>
    </row>
    <row r="4" spans="1:10" x14ac:dyDescent="0.3">
      <c r="G4" s="70" t="s">
        <v>87</v>
      </c>
    </row>
    <row r="5" spans="1:10" x14ac:dyDescent="0.3">
      <c r="G5" s="70" t="s">
        <v>477</v>
      </c>
    </row>
    <row r="6" spans="1:10" s="93" customFormat="1" hidden="1" x14ac:dyDescent="0.3">
      <c r="H6" s="70"/>
    </row>
    <row r="7" spans="1:10" s="93" customFormat="1" x14ac:dyDescent="0.3">
      <c r="G7" s="7" t="s">
        <v>479</v>
      </c>
      <c r="H7" s="7"/>
      <c r="I7" s="7"/>
    </row>
    <row r="8" spans="1:10" s="93" customFormat="1" x14ac:dyDescent="0.3">
      <c r="G8" s="7" t="s">
        <v>86</v>
      </c>
      <c r="H8" s="7"/>
      <c r="I8" s="7"/>
    </row>
    <row r="9" spans="1:10" s="93" customFormat="1" x14ac:dyDescent="0.3">
      <c r="G9" s="7" t="s">
        <v>87</v>
      </c>
      <c r="H9" s="7"/>
      <c r="I9" s="7"/>
    </row>
    <row r="10" spans="1:10" s="93" customFormat="1" x14ac:dyDescent="0.3">
      <c r="G10" s="7" t="s">
        <v>514</v>
      </c>
      <c r="H10" s="7"/>
      <c r="I10" s="7"/>
    </row>
    <row r="11" spans="1:10" x14ac:dyDescent="0.3">
      <c r="A11" s="256"/>
      <c r="B11" s="257"/>
      <c r="C11" s="257"/>
      <c r="D11" s="257"/>
      <c r="E11" s="257"/>
      <c r="F11" s="257"/>
      <c r="G11" s="257"/>
      <c r="H11" s="257"/>
      <c r="I11" s="257"/>
      <c r="J11" s="257"/>
    </row>
    <row r="12" spans="1:10" ht="36" customHeight="1" x14ac:dyDescent="0.3">
      <c r="A12" s="255" t="s">
        <v>452</v>
      </c>
      <c r="B12" s="255"/>
      <c r="C12" s="255"/>
      <c r="D12" s="255"/>
      <c r="E12" s="255"/>
      <c r="F12" s="255"/>
      <c r="G12" s="255"/>
      <c r="H12" s="255"/>
      <c r="I12" s="255"/>
      <c r="J12" s="255"/>
    </row>
    <row r="13" spans="1:10" x14ac:dyDescent="0.3">
      <c r="A13" s="71" t="s">
        <v>89</v>
      </c>
    </row>
    <row r="14" spans="1:10" x14ac:dyDescent="0.3">
      <c r="A14" s="70" t="s">
        <v>1</v>
      </c>
      <c r="J14" s="72" t="s">
        <v>90</v>
      </c>
    </row>
    <row r="15" spans="1:10" x14ac:dyDescent="0.3">
      <c r="A15" s="258" t="s">
        <v>91</v>
      </c>
      <c r="B15" s="258" t="s">
        <v>92</v>
      </c>
      <c r="C15" s="258" t="s">
        <v>93</v>
      </c>
      <c r="D15" s="258" t="s">
        <v>94</v>
      </c>
      <c r="E15" s="258" t="s">
        <v>287</v>
      </c>
      <c r="F15" s="258" t="s">
        <v>288</v>
      </c>
      <c r="G15" s="258" t="s">
        <v>5</v>
      </c>
      <c r="H15" s="258" t="s">
        <v>6</v>
      </c>
      <c r="I15" s="258" t="s">
        <v>7</v>
      </c>
      <c r="J15" s="258"/>
    </row>
    <row r="16" spans="1:10" ht="151.5" customHeight="1" x14ac:dyDescent="0.3">
      <c r="A16" s="258"/>
      <c r="B16" s="258"/>
      <c r="C16" s="258"/>
      <c r="D16" s="258"/>
      <c r="E16" s="258"/>
      <c r="F16" s="258"/>
      <c r="G16" s="258"/>
      <c r="H16" s="258"/>
      <c r="I16" s="86" t="s">
        <v>8</v>
      </c>
      <c r="J16" s="86" t="s">
        <v>9</v>
      </c>
    </row>
    <row r="17" spans="1:10" x14ac:dyDescent="0.3">
      <c r="A17" s="86">
        <v>1</v>
      </c>
      <c r="B17" s="86">
        <v>2</v>
      </c>
      <c r="C17" s="86">
        <v>3</v>
      </c>
      <c r="D17" s="86">
        <v>4</v>
      </c>
      <c r="E17" s="86">
        <v>5</v>
      </c>
      <c r="F17" s="86">
        <v>6</v>
      </c>
      <c r="G17" s="86">
        <v>7</v>
      </c>
      <c r="H17" s="86">
        <v>8</v>
      </c>
      <c r="I17" s="82">
        <v>9</v>
      </c>
      <c r="J17" s="82">
        <v>10</v>
      </c>
    </row>
    <row r="18" spans="1:10" ht="75" x14ac:dyDescent="0.3">
      <c r="A18" s="147">
        <v>5000000</v>
      </c>
      <c r="B18" s="73" t="s">
        <v>286</v>
      </c>
      <c r="C18" s="73" t="s">
        <v>286</v>
      </c>
      <c r="D18" s="74" t="s">
        <v>403</v>
      </c>
      <c r="E18" s="74" t="s">
        <v>286</v>
      </c>
      <c r="F18" s="74" t="s">
        <v>286</v>
      </c>
      <c r="G18" s="75">
        <f>SUM(H18+I18)</f>
        <v>400000</v>
      </c>
      <c r="H18" s="75">
        <f t="shared" ref="H18:J19" si="0">SUM(H19)</f>
        <v>400000</v>
      </c>
      <c r="I18" s="75">
        <f t="shared" si="0"/>
        <v>0</v>
      </c>
      <c r="J18" s="75">
        <f t="shared" si="0"/>
        <v>0</v>
      </c>
    </row>
    <row r="19" spans="1:10" ht="75" x14ac:dyDescent="0.3">
      <c r="A19" s="147">
        <v>5010000</v>
      </c>
      <c r="B19" s="73" t="s">
        <v>286</v>
      </c>
      <c r="C19" s="73" t="s">
        <v>286</v>
      </c>
      <c r="D19" s="74" t="s">
        <v>403</v>
      </c>
      <c r="E19" s="74" t="s">
        <v>286</v>
      </c>
      <c r="F19" s="74" t="s">
        <v>286</v>
      </c>
      <c r="G19" s="75">
        <f t="shared" ref="G19:G20" si="1">SUM(H19+I19)</f>
        <v>400000</v>
      </c>
      <c r="H19" s="75">
        <f t="shared" si="0"/>
        <v>400000</v>
      </c>
      <c r="I19" s="75">
        <f t="shared" si="0"/>
        <v>0</v>
      </c>
      <c r="J19" s="75">
        <f t="shared" si="0"/>
        <v>0</v>
      </c>
    </row>
    <row r="20" spans="1:10" ht="131.25" customHeight="1" x14ac:dyDescent="0.3">
      <c r="A20" s="79">
        <v>5018110</v>
      </c>
      <c r="B20" s="76" t="s">
        <v>125</v>
      </c>
      <c r="C20" s="76" t="s">
        <v>126</v>
      </c>
      <c r="D20" s="77" t="s">
        <v>127</v>
      </c>
      <c r="E20" s="77" t="s">
        <v>468</v>
      </c>
      <c r="F20" s="77" t="s">
        <v>509</v>
      </c>
      <c r="G20" s="75">
        <f t="shared" si="1"/>
        <v>400000</v>
      </c>
      <c r="H20" s="78">
        <v>400000</v>
      </c>
      <c r="I20" s="82"/>
      <c r="J20" s="82"/>
    </row>
    <row r="21" spans="1:10" ht="56.25" x14ac:dyDescent="0.3">
      <c r="A21" s="73" t="s">
        <v>104</v>
      </c>
      <c r="B21" s="73" t="s">
        <v>286</v>
      </c>
      <c r="C21" s="73" t="s">
        <v>286</v>
      </c>
      <c r="D21" s="74" t="s">
        <v>404</v>
      </c>
      <c r="E21" s="74" t="s">
        <v>286</v>
      </c>
      <c r="F21" s="74" t="s">
        <v>286</v>
      </c>
      <c r="G21" s="75">
        <f>SUM(H21+I21)</f>
        <v>1360000</v>
      </c>
      <c r="H21" s="75">
        <f>SUM(H22)</f>
        <v>1360000</v>
      </c>
      <c r="I21" s="75">
        <f>SUM(I22)</f>
        <v>0</v>
      </c>
      <c r="J21" s="75">
        <f>SUM(J22)</f>
        <v>0</v>
      </c>
    </row>
    <row r="22" spans="1:10" ht="60" customHeight="1" x14ac:dyDescent="0.3">
      <c r="A22" s="73" t="s">
        <v>105</v>
      </c>
      <c r="B22" s="73" t="s">
        <v>286</v>
      </c>
      <c r="C22" s="73" t="s">
        <v>286</v>
      </c>
      <c r="D22" s="74" t="s">
        <v>404</v>
      </c>
      <c r="E22" s="74" t="s">
        <v>286</v>
      </c>
      <c r="F22" s="74" t="s">
        <v>286</v>
      </c>
      <c r="G22" s="75">
        <f t="shared" ref="G22:G84" si="2">SUM(H22+I22)</f>
        <v>1360000</v>
      </c>
      <c r="H22" s="75">
        <f>SUM(H23:H34)</f>
        <v>1360000</v>
      </c>
      <c r="I22" s="75">
        <f>SUM(I24:I34)</f>
        <v>0</v>
      </c>
      <c r="J22" s="75">
        <f>SUM(J24:J34)</f>
        <v>0</v>
      </c>
    </row>
    <row r="23" spans="1:10" ht="116.45" hidden="1" customHeight="1" x14ac:dyDescent="0.3">
      <c r="A23" s="203" t="s">
        <v>106</v>
      </c>
      <c r="B23" s="203" t="s">
        <v>107</v>
      </c>
      <c r="C23" s="205" t="s">
        <v>102</v>
      </c>
      <c r="D23" s="205" t="s">
        <v>108</v>
      </c>
      <c r="E23" s="77" t="s">
        <v>406</v>
      </c>
      <c r="F23" s="77" t="s">
        <v>380</v>
      </c>
      <c r="G23" s="78">
        <f t="shared" si="2"/>
        <v>0</v>
      </c>
      <c r="H23" s="78">
        <v>0</v>
      </c>
      <c r="I23" s="75"/>
      <c r="J23" s="75"/>
    </row>
    <row r="24" spans="1:10" ht="131.25" hidden="1" x14ac:dyDescent="0.3">
      <c r="A24" s="76" t="s">
        <v>109</v>
      </c>
      <c r="B24" s="76" t="s">
        <v>110</v>
      </c>
      <c r="C24" s="76" t="s">
        <v>111</v>
      </c>
      <c r="D24" s="77" t="s">
        <v>112</v>
      </c>
      <c r="E24" s="77" t="s">
        <v>406</v>
      </c>
      <c r="F24" s="77" t="s">
        <v>380</v>
      </c>
      <c r="G24" s="78">
        <f t="shared" si="2"/>
        <v>0</v>
      </c>
      <c r="H24" s="78">
        <v>0</v>
      </c>
      <c r="I24" s="78"/>
      <c r="J24" s="78"/>
    </row>
    <row r="25" spans="1:10" ht="131.25" hidden="1" customHeight="1" x14ac:dyDescent="0.3">
      <c r="A25" s="79">
        <v>118313</v>
      </c>
      <c r="B25" s="79">
        <v>8313</v>
      </c>
      <c r="C25" s="79">
        <v>513</v>
      </c>
      <c r="D25" s="77" t="s">
        <v>421</v>
      </c>
      <c r="E25" s="77" t="s">
        <v>406</v>
      </c>
      <c r="F25" s="77" t="s">
        <v>380</v>
      </c>
      <c r="G25" s="78">
        <f t="shared" si="2"/>
        <v>0</v>
      </c>
      <c r="H25" s="78"/>
      <c r="I25" s="78">
        <v>0</v>
      </c>
      <c r="J25" s="78"/>
    </row>
    <row r="26" spans="1:10" s="93" customFormat="1" ht="25.5" hidden="1" x14ac:dyDescent="0.2">
      <c r="A26" s="134" t="s">
        <v>117</v>
      </c>
      <c r="B26" s="134" t="s">
        <v>118</v>
      </c>
      <c r="C26" s="134" t="s">
        <v>119</v>
      </c>
      <c r="D26" s="135" t="s">
        <v>120</v>
      </c>
      <c r="E26" s="135"/>
      <c r="F26" s="135"/>
      <c r="G26" s="136">
        <f t="shared" si="2"/>
        <v>0</v>
      </c>
      <c r="H26" s="136"/>
      <c r="I26" s="136"/>
      <c r="J26" s="136"/>
    </row>
    <row r="27" spans="1:10" s="93" customFormat="1" ht="25.5" hidden="1" x14ac:dyDescent="0.2">
      <c r="A27" s="134" t="s">
        <v>121</v>
      </c>
      <c r="B27" s="134" t="s">
        <v>122</v>
      </c>
      <c r="C27" s="134" t="s">
        <v>119</v>
      </c>
      <c r="D27" s="135" t="s">
        <v>123</v>
      </c>
      <c r="E27" s="135"/>
      <c r="F27" s="135"/>
      <c r="G27" s="136">
        <f t="shared" si="2"/>
        <v>0</v>
      </c>
      <c r="H27" s="136"/>
      <c r="I27" s="136"/>
      <c r="J27" s="136"/>
    </row>
    <row r="28" spans="1:10" s="93" customFormat="1" ht="131.25" customHeight="1" x14ac:dyDescent="0.2">
      <c r="A28" s="76" t="s">
        <v>124</v>
      </c>
      <c r="B28" s="76" t="s">
        <v>125</v>
      </c>
      <c r="C28" s="76" t="s">
        <v>126</v>
      </c>
      <c r="D28" s="77" t="s">
        <v>127</v>
      </c>
      <c r="E28" s="77" t="s">
        <v>468</v>
      </c>
      <c r="F28" s="77" t="s">
        <v>509</v>
      </c>
      <c r="G28" s="78">
        <f t="shared" si="2"/>
        <v>420000</v>
      </c>
      <c r="H28" s="78">
        <v>420000</v>
      </c>
      <c r="I28" s="78">
        <f>J28</f>
        <v>0</v>
      </c>
      <c r="J28" s="78">
        <v>0</v>
      </c>
    </row>
    <row r="29" spans="1:10" s="93" customFormat="1" ht="318.75" hidden="1" x14ac:dyDescent="0.2">
      <c r="A29" s="76" t="s">
        <v>128</v>
      </c>
      <c r="B29" s="76" t="s">
        <v>129</v>
      </c>
      <c r="C29" s="76" t="s">
        <v>130</v>
      </c>
      <c r="D29" s="77" t="s">
        <v>131</v>
      </c>
      <c r="E29" s="77" t="s">
        <v>412</v>
      </c>
      <c r="F29" s="77" t="s">
        <v>380</v>
      </c>
      <c r="G29" s="78">
        <f t="shared" si="2"/>
        <v>0</v>
      </c>
      <c r="H29" s="78">
        <v>0</v>
      </c>
      <c r="I29" s="78">
        <v>0</v>
      </c>
      <c r="J29" s="78"/>
    </row>
    <row r="30" spans="1:10" s="93" customFormat="1" ht="216" hidden="1" customHeight="1" x14ac:dyDescent="0.2">
      <c r="A30" s="76" t="s">
        <v>128</v>
      </c>
      <c r="B30" s="76" t="s">
        <v>129</v>
      </c>
      <c r="C30" s="76" t="s">
        <v>130</v>
      </c>
      <c r="D30" s="77" t="s">
        <v>131</v>
      </c>
      <c r="E30" s="194" t="s">
        <v>420</v>
      </c>
      <c r="F30" s="77" t="s">
        <v>422</v>
      </c>
      <c r="G30" s="78">
        <v>0</v>
      </c>
      <c r="H30" s="78">
        <v>0</v>
      </c>
      <c r="I30" s="78"/>
      <c r="J30" s="78"/>
    </row>
    <row r="31" spans="1:10" s="93" customFormat="1" ht="216" hidden="1" customHeight="1" x14ac:dyDescent="0.2">
      <c r="A31" s="76" t="s">
        <v>128</v>
      </c>
      <c r="B31" s="76" t="s">
        <v>129</v>
      </c>
      <c r="C31" s="76" t="s">
        <v>130</v>
      </c>
      <c r="D31" s="77" t="s">
        <v>131</v>
      </c>
      <c r="E31" s="77" t="s">
        <v>382</v>
      </c>
      <c r="F31" s="77" t="s">
        <v>380</v>
      </c>
      <c r="G31" s="78">
        <v>0</v>
      </c>
      <c r="H31" s="78">
        <v>0</v>
      </c>
      <c r="I31" s="78"/>
      <c r="J31" s="78"/>
    </row>
    <row r="32" spans="1:10" s="93" customFormat="1" ht="150" x14ac:dyDescent="0.2">
      <c r="A32" s="76" t="s">
        <v>128</v>
      </c>
      <c r="B32" s="76" t="s">
        <v>129</v>
      </c>
      <c r="C32" s="76" t="s">
        <v>130</v>
      </c>
      <c r="D32" s="77" t="s">
        <v>131</v>
      </c>
      <c r="E32" s="77" t="s">
        <v>484</v>
      </c>
      <c r="F32" s="214" t="s">
        <v>495</v>
      </c>
      <c r="G32" s="78">
        <v>650000</v>
      </c>
      <c r="H32" s="78">
        <v>650000</v>
      </c>
      <c r="I32" s="78">
        <v>0</v>
      </c>
      <c r="J32" s="78">
        <v>0</v>
      </c>
    </row>
    <row r="33" spans="1:10" ht="131.25" x14ac:dyDescent="0.3">
      <c r="A33" s="211" t="s">
        <v>370</v>
      </c>
      <c r="B33" s="76" t="s">
        <v>192</v>
      </c>
      <c r="C33" s="76" t="s">
        <v>193</v>
      </c>
      <c r="D33" s="77" t="s">
        <v>194</v>
      </c>
      <c r="E33" s="77" t="s">
        <v>469</v>
      </c>
      <c r="F33" s="77" t="s">
        <v>509</v>
      </c>
      <c r="G33" s="78">
        <f t="shared" ref="G33" si="3">SUM(H33+I33)</f>
        <v>290000</v>
      </c>
      <c r="H33" s="78">
        <v>290000</v>
      </c>
      <c r="I33" s="78">
        <v>0</v>
      </c>
      <c r="J33" s="78">
        <v>0</v>
      </c>
    </row>
    <row r="34" spans="1:10" ht="187.5" hidden="1" x14ac:dyDescent="0.3">
      <c r="A34" s="76" t="s">
        <v>128</v>
      </c>
      <c r="B34" s="76" t="s">
        <v>129</v>
      </c>
      <c r="C34" s="76" t="s">
        <v>130</v>
      </c>
      <c r="D34" s="77" t="s">
        <v>131</v>
      </c>
      <c r="E34" s="77" t="s">
        <v>289</v>
      </c>
      <c r="F34" s="77" t="s">
        <v>290</v>
      </c>
      <c r="G34" s="78">
        <f t="shared" si="2"/>
        <v>0</v>
      </c>
      <c r="H34" s="78"/>
      <c r="I34" s="78">
        <v>0</v>
      </c>
      <c r="J34" s="78">
        <v>0</v>
      </c>
    </row>
    <row r="35" spans="1:10" ht="37.5" hidden="1" x14ac:dyDescent="0.3">
      <c r="A35" s="73" t="s">
        <v>132</v>
      </c>
      <c r="B35" s="73" t="s">
        <v>286</v>
      </c>
      <c r="C35" s="73" t="s">
        <v>286</v>
      </c>
      <c r="D35" s="74" t="s">
        <v>379</v>
      </c>
      <c r="E35" s="74" t="s">
        <v>286</v>
      </c>
      <c r="F35" s="74" t="s">
        <v>286</v>
      </c>
      <c r="G35" s="75">
        <f t="shared" si="2"/>
        <v>0</v>
      </c>
      <c r="H35" s="75">
        <f>SUM(H36)</f>
        <v>0</v>
      </c>
      <c r="I35" s="75">
        <f t="shared" ref="I35:J35" si="4">SUM(I36)</f>
        <v>0</v>
      </c>
      <c r="J35" s="75">
        <f t="shared" si="4"/>
        <v>0</v>
      </c>
    </row>
    <row r="36" spans="1:10" ht="37.5" hidden="1" x14ac:dyDescent="0.3">
      <c r="A36" s="73" t="s">
        <v>133</v>
      </c>
      <c r="B36" s="73" t="s">
        <v>286</v>
      </c>
      <c r="C36" s="73" t="s">
        <v>286</v>
      </c>
      <c r="D36" s="74" t="s">
        <v>379</v>
      </c>
      <c r="E36" s="74" t="s">
        <v>286</v>
      </c>
      <c r="F36" s="74" t="s">
        <v>286</v>
      </c>
      <c r="G36" s="75">
        <f>SUM(H36+I36)</f>
        <v>0</v>
      </c>
      <c r="H36" s="75">
        <f>SUM(H37:H49)</f>
        <v>0</v>
      </c>
      <c r="I36" s="75">
        <f>SUM(I38:I49)</f>
        <v>0</v>
      </c>
      <c r="J36" s="75">
        <f t="shared" ref="J36" si="5">SUM(J38:J48)</f>
        <v>0</v>
      </c>
    </row>
    <row r="37" spans="1:10" ht="131.25" hidden="1" x14ac:dyDescent="0.3">
      <c r="A37" s="76" t="s">
        <v>140</v>
      </c>
      <c r="B37" s="76" t="s">
        <v>141</v>
      </c>
      <c r="C37" s="76" t="s">
        <v>142</v>
      </c>
      <c r="D37" s="77" t="s">
        <v>143</v>
      </c>
      <c r="E37" s="77" t="s">
        <v>419</v>
      </c>
      <c r="F37" s="77" t="s">
        <v>380</v>
      </c>
      <c r="G37" s="78">
        <f t="shared" si="2"/>
        <v>0</v>
      </c>
      <c r="H37" s="78">
        <v>0</v>
      </c>
      <c r="I37" s="75"/>
      <c r="J37" s="75"/>
    </row>
    <row r="38" spans="1:10" s="93" customFormat="1" ht="93.75" hidden="1" x14ac:dyDescent="0.2">
      <c r="A38" s="76" t="s">
        <v>140</v>
      </c>
      <c r="B38" s="76" t="s">
        <v>141</v>
      </c>
      <c r="C38" s="76" t="s">
        <v>142</v>
      </c>
      <c r="D38" s="77" t="s">
        <v>143</v>
      </c>
      <c r="E38" s="77" t="s">
        <v>291</v>
      </c>
      <c r="F38" s="77" t="s">
        <v>331</v>
      </c>
      <c r="G38" s="78">
        <f t="shared" si="2"/>
        <v>0</v>
      </c>
      <c r="H38" s="78">
        <v>0</v>
      </c>
      <c r="I38" s="78"/>
      <c r="J38" s="78"/>
    </row>
    <row r="39" spans="1:10" s="93" customFormat="1" ht="12.75" hidden="1" x14ac:dyDescent="0.2">
      <c r="A39" s="134" t="s">
        <v>149</v>
      </c>
      <c r="B39" s="134" t="s">
        <v>150</v>
      </c>
      <c r="C39" s="134" t="s">
        <v>151</v>
      </c>
      <c r="D39" s="135" t="s">
        <v>152</v>
      </c>
      <c r="E39" s="135"/>
      <c r="F39" s="135"/>
      <c r="G39" s="136">
        <f t="shared" si="2"/>
        <v>0</v>
      </c>
      <c r="H39" s="136"/>
      <c r="I39" s="136"/>
      <c r="J39" s="136"/>
    </row>
    <row r="40" spans="1:10" s="93" customFormat="1" ht="25.5" hidden="1" x14ac:dyDescent="0.2">
      <c r="A40" s="134" t="s">
        <v>159</v>
      </c>
      <c r="B40" s="134" t="s">
        <v>160</v>
      </c>
      <c r="C40" s="134" t="s">
        <v>161</v>
      </c>
      <c r="D40" s="135" t="s">
        <v>162</v>
      </c>
      <c r="E40" s="135"/>
      <c r="F40" s="135"/>
      <c r="G40" s="136">
        <f t="shared" si="2"/>
        <v>0</v>
      </c>
      <c r="H40" s="136"/>
      <c r="I40" s="136"/>
      <c r="J40" s="136"/>
    </row>
    <row r="41" spans="1:10" ht="150" hidden="1" x14ac:dyDescent="0.3">
      <c r="A41" s="76" t="s">
        <v>163</v>
      </c>
      <c r="B41" s="76" t="s">
        <v>164</v>
      </c>
      <c r="C41" s="76" t="s">
        <v>165</v>
      </c>
      <c r="D41" s="77" t="s">
        <v>166</v>
      </c>
      <c r="E41" s="77" t="s">
        <v>292</v>
      </c>
      <c r="F41" s="77" t="s">
        <v>293</v>
      </c>
      <c r="G41" s="78">
        <f t="shared" si="2"/>
        <v>0</v>
      </c>
      <c r="H41" s="78">
        <v>0</v>
      </c>
      <c r="I41" s="78">
        <v>0</v>
      </c>
      <c r="J41" s="78">
        <v>0</v>
      </c>
    </row>
    <row r="42" spans="1:10" ht="150" hidden="1" x14ac:dyDescent="0.3">
      <c r="A42" s="76" t="s">
        <v>167</v>
      </c>
      <c r="B42" s="76" t="s">
        <v>168</v>
      </c>
      <c r="C42" s="76" t="s">
        <v>169</v>
      </c>
      <c r="D42" s="77" t="s">
        <v>170</v>
      </c>
      <c r="E42" s="77" t="s">
        <v>292</v>
      </c>
      <c r="F42" s="77" t="s">
        <v>293</v>
      </c>
      <c r="G42" s="78">
        <f t="shared" si="2"/>
        <v>0</v>
      </c>
      <c r="H42" s="78">
        <v>0</v>
      </c>
      <c r="I42" s="78"/>
      <c r="J42" s="78"/>
    </row>
    <row r="43" spans="1:10" ht="150" hidden="1" x14ac:dyDescent="0.3">
      <c r="A43" s="76" t="s">
        <v>171</v>
      </c>
      <c r="B43" s="76" t="s">
        <v>172</v>
      </c>
      <c r="C43" s="76" t="s">
        <v>169</v>
      </c>
      <c r="D43" s="77" t="s">
        <v>173</v>
      </c>
      <c r="E43" s="77" t="s">
        <v>292</v>
      </c>
      <c r="F43" s="77" t="s">
        <v>293</v>
      </c>
      <c r="G43" s="78">
        <f t="shared" si="2"/>
        <v>0</v>
      </c>
      <c r="H43" s="78">
        <v>0</v>
      </c>
      <c r="I43" s="78"/>
      <c r="J43" s="78"/>
    </row>
    <row r="44" spans="1:10" s="93" customFormat="1" ht="76.5" hidden="1" x14ac:dyDescent="0.2">
      <c r="A44" s="134" t="s">
        <v>174</v>
      </c>
      <c r="B44" s="134" t="s">
        <v>175</v>
      </c>
      <c r="C44" s="134" t="s">
        <v>169</v>
      </c>
      <c r="D44" s="135" t="s">
        <v>176</v>
      </c>
      <c r="E44" s="135" t="s">
        <v>292</v>
      </c>
      <c r="F44" s="135" t="s">
        <v>293</v>
      </c>
      <c r="G44" s="136">
        <f t="shared" si="2"/>
        <v>0</v>
      </c>
      <c r="H44" s="136"/>
      <c r="I44" s="136"/>
      <c r="J44" s="136"/>
    </row>
    <row r="45" spans="1:10" s="93" customFormat="1" ht="76.5" hidden="1" x14ac:dyDescent="0.2">
      <c r="A45" s="134" t="s">
        <v>177</v>
      </c>
      <c r="B45" s="134" t="s">
        <v>178</v>
      </c>
      <c r="C45" s="134" t="s">
        <v>169</v>
      </c>
      <c r="D45" s="135" t="s">
        <v>179</v>
      </c>
      <c r="E45" s="135" t="s">
        <v>292</v>
      </c>
      <c r="F45" s="135" t="s">
        <v>293</v>
      </c>
      <c r="G45" s="136">
        <f t="shared" si="2"/>
        <v>0</v>
      </c>
      <c r="H45" s="136"/>
      <c r="I45" s="136"/>
      <c r="J45" s="136"/>
    </row>
    <row r="46" spans="1:10" s="93" customFormat="1" ht="150" hidden="1" x14ac:dyDescent="0.2">
      <c r="A46" s="76" t="s">
        <v>180</v>
      </c>
      <c r="B46" s="76" t="s">
        <v>181</v>
      </c>
      <c r="C46" s="76" t="s">
        <v>169</v>
      </c>
      <c r="D46" s="77" t="s">
        <v>182</v>
      </c>
      <c r="E46" s="77" t="s">
        <v>292</v>
      </c>
      <c r="F46" s="77" t="s">
        <v>293</v>
      </c>
      <c r="G46" s="78">
        <f t="shared" si="2"/>
        <v>0</v>
      </c>
      <c r="H46" s="78">
        <v>0</v>
      </c>
      <c r="I46" s="78"/>
      <c r="J46" s="78"/>
    </row>
    <row r="47" spans="1:10" ht="131.25" hidden="1" x14ac:dyDescent="0.3">
      <c r="A47" s="76" t="s">
        <v>191</v>
      </c>
      <c r="B47" s="76" t="s">
        <v>192</v>
      </c>
      <c r="C47" s="76" t="s">
        <v>193</v>
      </c>
      <c r="D47" s="77" t="s">
        <v>194</v>
      </c>
      <c r="E47" s="77" t="s">
        <v>378</v>
      </c>
      <c r="F47" s="77" t="s">
        <v>365</v>
      </c>
      <c r="G47" s="78">
        <f t="shared" si="2"/>
        <v>0</v>
      </c>
      <c r="H47" s="78">
        <v>0</v>
      </c>
      <c r="I47" s="78">
        <v>0</v>
      </c>
      <c r="J47" s="78">
        <v>0</v>
      </c>
    </row>
    <row r="48" spans="1:10" s="93" customFormat="1" ht="168.75" hidden="1" x14ac:dyDescent="0.2">
      <c r="A48" s="151" t="s">
        <v>350</v>
      </c>
      <c r="B48" s="76" t="s">
        <v>125</v>
      </c>
      <c r="C48" s="76" t="s">
        <v>126</v>
      </c>
      <c r="D48" s="77" t="s">
        <v>127</v>
      </c>
      <c r="E48" s="77" t="s">
        <v>334</v>
      </c>
      <c r="F48" s="77" t="s">
        <v>347</v>
      </c>
      <c r="G48" s="78">
        <f t="shared" si="2"/>
        <v>0</v>
      </c>
      <c r="H48" s="78">
        <v>0</v>
      </c>
      <c r="I48" s="78">
        <v>0</v>
      </c>
      <c r="J48" s="78">
        <v>0</v>
      </c>
    </row>
    <row r="49" spans="1:10" s="192" customFormat="1" ht="131.25" hidden="1" x14ac:dyDescent="0.3">
      <c r="A49" s="151" t="s">
        <v>136</v>
      </c>
      <c r="B49" s="79">
        <v>1010</v>
      </c>
      <c r="C49" s="151" t="s">
        <v>119</v>
      </c>
      <c r="D49" s="77" t="s">
        <v>139</v>
      </c>
      <c r="E49" s="77" t="s">
        <v>419</v>
      </c>
      <c r="F49" s="77" t="s">
        <v>380</v>
      </c>
      <c r="G49" s="78">
        <f t="shared" si="2"/>
        <v>0</v>
      </c>
      <c r="H49" s="191">
        <v>0</v>
      </c>
      <c r="I49" s="78">
        <v>0</v>
      </c>
      <c r="J49" s="78">
        <v>0</v>
      </c>
    </row>
    <row r="50" spans="1:10" s="93" customFormat="1" ht="168.75" hidden="1" x14ac:dyDescent="0.3">
      <c r="A50" s="139" t="s">
        <v>357</v>
      </c>
      <c r="B50" s="29">
        <v>7384</v>
      </c>
      <c r="C50" s="139" t="s">
        <v>119</v>
      </c>
      <c r="D50" s="138" t="s">
        <v>358</v>
      </c>
      <c r="E50" s="77" t="s">
        <v>359</v>
      </c>
      <c r="F50" s="77" t="s">
        <v>347</v>
      </c>
      <c r="G50" s="78">
        <f t="shared" si="2"/>
        <v>0</v>
      </c>
      <c r="H50" s="136"/>
      <c r="I50" s="78">
        <v>0</v>
      </c>
      <c r="J50" s="78">
        <v>0</v>
      </c>
    </row>
    <row r="51" spans="1:10" ht="75" x14ac:dyDescent="0.3">
      <c r="A51" s="73" t="s">
        <v>195</v>
      </c>
      <c r="B51" s="73" t="s">
        <v>286</v>
      </c>
      <c r="C51" s="73" t="s">
        <v>286</v>
      </c>
      <c r="D51" s="74" t="s">
        <v>397</v>
      </c>
      <c r="E51" s="74" t="s">
        <v>286</v>
      </c>
      <c r="F51" s="74" t="s">
        <v>286</v>
      </c>
      <c r="G51" s="75">
        <f t="shared" si="2"/>
        <v>6697419.6699999999</v>
      </c>
      <c r="H51" s="75">
        <f>SUM(H52)</f>
        <v>6697419.6699999999</v>
      </c>
      <c r="I51" s="75">
        <f t="shared" ref="I51:J51" si="6">SUM(I52)</f>
        <v>0</v>
      </c>
      <c r="J51" s="75">
        <f t="shared" si="6"/>
        <v>0</v>
      </c>
    </row>
    <row r="52" spans="1:10" ht="75" x14ac:dyDescent="0.3">
      <c r="A52" s="73" t="s">
        <v>196</v>
      </c>
      <c r="B52" s="73" t="s">
        <v>286</v>
      </c>
      <c r="C52" s="73" t="s">
        <v>286</v>
      </c>
      <c r="D52" s="74" t="s">
        <v>397</v>
      </c>
      <c r="E52" s="74" t="s">
        <v>286</v>
      </c>
      <c r="F52" s="74" t="s">
        <v>286</v>
      </c>
      <c r="G52" s="75">
        <f t="shared" si="2"/>
        <v>6697419.6699999999</v>
      </c>
      <c r="H52" s="75">
        <f>SUM(H53:H69)</f>
        <v>6697419.6699999999</v>
      </c>
      <c r="I52" s="75">
        <f>SUM(I53:I65)</f>
        <v>0</v>
      </c>
      <c r="J52" s="75">
        <f>SUM(J53:J65)</f>
        <v>0</v>
      </c>
    </row>
    <row r="53" spans="1:10" ht="112.5" hidden="1" x14ac:dyDescent="0.3">
      <c r="A53" s="76" t="s">
        <v>198</v>
      </c>
      <c r="B53" s="76" t="s">
        <v>199</v>
      </c>
      <c r="C53" s="76" t="s">
        <v>200</v>
      </c>
      <c r="D53" s="77" t="s">
        <v>201</v>
      </c>
      <c r="E53" s="77" t="s">
        <v>294</v>
      </c>
      <c r="F53" s="77" t="s">
        <v>295</v>
      </c>
      <c r="G53" s="78">
        <f t="shared" si="2"/>
        <v>0</v>
      </c>
      <c r="H53" s="78">
        <v>0</v>
      </c>
      <c r="I53" s="78"/>
      <c r="J53" s="78"/>
    </row>
    <row r="54" spans="1:10" s="93" customFormat="1" ht="131.25" hidden="1" x14ac:dyDescent="0.2">
      <c r="A54" s="79">
        <v>813140</v>
      </c>
      <c r="B54" s="79">
        <v>3140</v>
      </c>
      <c r="C54" s="79">
        <v>1040</v>
      </c>
      <c r="D54" s="77" t="s">
        <v>208</v>
      </c>
      <c r="E54" s="77" t="s">
        <v>348</v>
      </c>
      <c r="F54" s="77" t="s">
        <v>296</v>
      </c>
      <c r="G54" s="78">
        <f t="shared" si="2"/>
        <v>0</v>
      </c>
      <c r="H54" s="78">
        <v>0</v>
      </c>
      <c r="I54" s="78"/>
      <c r="J54" s="78"/>
    </row>
    <row r="55" spans="1:10" ht="290.45" customHeight="1" x14ac:dyDescent="0.3">
      <c r="A55" s="76" t="s">
        <v>202</v>
      </c>
      <c r="B55" s="76" t="s">
        <v>203</v>
      </c>
      <c r="C55" s="76" t="s">
        <v>200</v>
      </c>
      <c r="D55" s="77" t="s">
        <v>204</v>
      </c>
      <c r="E55" s="179" t="s">
        <v>485</v>
      </c>
      <c r="F55" s="77" t="s">
        <v>486</v>
      </c>
      <c r="G55" s="78">
        <f t="shared" si="2"/>
        <v>10704</v>
      </c>
      <c r="H55" s="78">
        <f>12074-1370</f>
        <v>10704</v>
      </c>
      <c r="I55" s="78">
        <v>0</v>
      </c>
      <c r="J55" s="78">
        <v>0</v>
      </c>
    </row>
    <row r="56" spans="1:10" s="93" customFormat="1" ht="131.25" hidden="1" x14ac:dyDescent="0.2">
      <c r="A56" s="76" t="s">
        <v>205</v>
      </c>
      <c r="B56" s="76" t="s">
        <v>206</v>
      </c>
      <c r="C56" s="76" t="s">
        <v>207</v>
      </c>
      <c r="D56" s="77" t="s">
        <v>208</v>
      </c>
      <c r="E56" s="77" t="s">
        <v>407</v>
      </c>
      <c r="F56" s="77" t="s">
        <v>408</v>
      </c>
      <c r="G56" s="78">
        <f t="shared" si="2"/>
        <v>0</v>
      </c>
      <c r="H56" s="78">
        <v>0</v>
      </c>
      <c r="I56" s="78">
        <v>0</v>
      </c>
      <c r="J56" s="78">
        <v>0</v>
      </c>
    </row>
    <row r="57" spans="1:10" s="93" customFormat="1" ht="262.5" x14ac:dyDescent="0.2">
      <c r="A57" s="211" t="s">
        <v>385</v>
      </c>
      <c r="B57" s="79">
        <v>3121</v>
      </c>
      <c r="C57" s="79">
        <v>1040</v>
      </c>
      <c r="D57" s="77" t="s">
        <v>457</v>
      </c>
      <c r="E57" s="77" t="s">
        <v>470</v>
      </c>
      <c r="F57" s="77" t="s">
        <v>487</v>
      </c>
      <c r="G57" s="78">
        <f>H57</f>
        <v>3778793.67</v>
      </c>
      <c r="H57" s="78">
        <v>3778793.67</v>
      </c>
      <c r="I57" s="78"/>
      <c r="J57" s="78"/>
    </row>
    <row r="58" spans="1:10" s="93" customFormat="1" ht="187.5" x14ac:dyDescent="0.2">
      <c r="A58" s="211" t="s">
        <v>440</v>
      </c>
      <c r="B58" s="79">
        <v>3160</v>
      </c>
      <c r="C58" s="79">
        <v>1010</v>
      </c>
      <c r="D58" s="77" t="s">
        <v>458</v>
      </c>
      <c r="E58" s="77" t="s">
        <v>459</v>
      </c>
      <c r="F58" s="77" t="s">
        <v>483</v>
      </c>
      <c r="G58" s="78">
        <f>H58</f>
        <v>106370</v>
      </c>
      <c r="H58" s="78">
        <v>106370</v>
      </c>
      <c r="I58" s="78"/>
      <c r="J58" s="78"/>
    </row>
    <row r="59" spans="1:10" ht="206.25" x14ac:dyDescent="0.3">
      <c r="A59" s="76" t="s">
        <v>209</v>
      </c>
      <c r="B59" s="76" t="s">
        <v>210</v>
      </c>
      <c r="C59" s="76" t="s">
        <v>137</v>
      </c>
      <c r="D59" s="77" t="s">
        <v>211</v>
      </c>
      <c r="E59" s="77" t="s">
        <v>471</v>
      </c>
      <c r="F59" s="77" t="s">
        <v>488</v>
      </c>
      <c r="G59" s="78">
        <f t="shared" si="2"/>
        <v>1506</v>
      </c>
      <c r="H59" s="78">
        <v>1506</v>
      </c>
      <c r="I59" s="78">
        <v>0</v>
      </c>
      <c r="J59" s="78">
        <v>0</v>
      </c>
    </row>
    <row r="60" spans="1:10" ht="206.25" x14ac:dyDescent="0.3">
      <c r="A60" s="76" t="s">
        <v>212</v>
      </c>
      <c r="B60" s="79">
        <v>3180</v>
      </c>
      <c r="C60" s="76" t="s">
        <v>214</v>
      </c>
      <c r="D60" s="77" t="s">
        <v>215</v>
      </c>
      <c r="E60" s="77" t="s">
        <v>471</v>
      </c>
      <c r="F60" s="77" t="s">
        <v>488</v>
      </c>
      <c r="G60" s="78">
        <f t="shared" si="2"/>
        <v>19476</v>
      </c>
      <c r="H60" s="78">
        <f>3825+15651</f>
        <v>19476</v>
      </c>
      <c r="I60" s="78">
        <v>0</v>
      </c>
      <c r="J60" s="78">
        <v>0</v>
      </c>
    </row>
    <row r="61" spans="1:10" ht="150" x14ac:dyDescent="0.3">
      <c r="A61" s="151" t="s">
        <v>205</v>
      </c>
      <c r="B61" s="79">
        <v>3140</v>
      </c>
      <c r="C61" s="76" t="s">
        <v>214</v>
      </c>
      <c r="D61" s="77" t="s">
        <v>208</v>
      </c>
      <c r="E61" s="214" t="s">
        <v>493</v>
      </c>
      <c r="F61" s="214" t="s">
        <v>494</v>
      </c>
      <c r="G61" s="78">
        <f t="shared" ref="G61:G62" si="7">SUM(H61+I61)</f>
        <v>475340</v>
      </c>
      <c r="H61" s="78">
        <f>317000+158340</f>
        <v>475340</v>
      </c>
      <c r="I61" s="78">
        <v>0</v>
      </c>
      <c r="J61" s="78">
        <v>0</v>
      </c>
    </row>
    <row r="62" spans="1:10" ht="168.75" x14ac:dyDescent="0.3">
      <c r="A62" s="203" t="s">
        <v>442</v>
      </c>
      <c r="B62" s="203">
        <v>3191</v>
      </c>
      <c r="C62" s="204">
        <v>1030</v>
      </c>
      <c r="D62" s="31" t="s">
        <v>443</v>
      </c>
      <c r="E62" s="65" t="s">
        <v>460</v>
      </c>
      <c r="F62" s="77" t="s">
        <v>490</v>
      </c>
      <c r="G62" s="78">
        <f t="shared" si="7"/>
        <v>630000</v>
      </c>
      <c r="H62" s="78">
        <f>600000+315000-285000</f>
        <v>630000</v>
      </c>
      <c r="I62" s="78">
        <v>0</v>
      </c>
      <c r="J62" s="78">
        <v>0</v>
      </c>
    </row>
    <row r="63" spans="1:10" ht="262.5" x14ac:dyDescent="0.3">
      <c r="A63" s="151" t="s">
        <v>217</v>
      </c>
      <c r="B63" s="76" t="s">
        <v>218</v>
      </c>
      <c r="C63" s="76" t="s">
        <v>216</v>
      </c>
      <c r="D63" s="77" t="s">
        <v>219</v>
      </c>
      <c r="E63" s="77" t="s">
        <v>471</v>
      </c>
      <c r="F63" s="77" t="s">
        <v>489</v>
      </c>
      <c r="G63" s="78">
        <f t="shared" si="2"/>
        <v>1675230</v>
      </c>
      <c r="H63" s="78">
        <f>875230+400000+400000</f>
        <v>1675230</v>
      </c>
      <c r="I63" s="78">
        <v>0</v>
      </c>
      <c r="J63" s="78">
        <v>0</v>
      </c>
    </row>
    <row r="64" spans="1:10" ht="143.25" hidden="1" customHeight="1" x14ac:dyDescent="0.3">
      <c r="A64" s="76" t="s">
        <v>217</v>
      </c>
      <c r="B64" s="76" t="s">
        <v>218</v>
      </c>
      <c r="C64" s="76" t="s">
        <v>216</v>
      </c>
      <c r="D64" s="77" t="s">
        <v>219</v>
      </c>
      <c r="E64" s="179" t="s">
        <v>383</v>
      </c>
      <c r="F64" s="178" t="s">
        <v>377</v>
      </c>
      <c r="G64" s="78">
        <f t="shared" ref="G64" si="8">SUM(H64+I64)</f>
        <v>0</v>
      </c>
      <c r="H64" s="78">
        <v>0</v>
      </c>
      <c r="I64" s="78">
        <v>0</v>
      </c>
      <c r="J64" s="78">
        <v>0</v>
      </c>
    </row>
    <row r="65" spans="1:10" s="93" customFormat="1" ht="51" hidden="1" x14ac:dyDescent="0.2">
      <c r="A65" s="134" t="s">
        <v>217</v>
      </c>
      <c r="B65" s="134" t="s">
        <v>218</v>
      </c>
      <c r="C65" s="134" t="s">
        <v>216</v>
      </c>
      <c r="D65" s="135" t="s">
        <v>219</v>
      </c>
      <c r="E65" s="135" t="s">
        <v>297</v>
      </c>
      <c r="F65" s="135" t="s">
        <v>298</v>
      </c>
      <c r="G65" s="136">
        <f t="shared" si="2"/>
        <v>0</v>
      </c>
      <c r="H65" s="136"/>
      <c r="I65" s="136">
        <v>0</v>
      </c>
      <c r="J65" s="136">
        <v>0</v>
      </c>
    </row>
    <row r="66" spans="1:10" s="93" customFormat="1" ht="25.5" hidden="1" x14ac:dyDescent="0.2">
      <c r="A66" s="131" t="s">
        <v>220</v>
      </c>
      <c r="B66" s="131" t="s">
        <v>286</v>
      </c>
      <c r="C66" s="131" t="s">
        <v>286</v>
      </c>
      <c r="D66" s="132" t="s">
        <v>221</v>
      </c>
      <c r="E66" s="132" t="s">
        <v>286</v>
      </c>
      <c r="F66" s="132" t="s">
        <v>286</v>
      </c>
      <c r="G66" s="133">
        <f t="shared" si="2"/>
        <v>0</v>
      </c>
      <c r="H66" s="133">
        <f>SUM(H67)</f>
        <v>0</v>
      </c>
      <c r="I66" s="133">
        <f t="shared" ref="I66:J67" si="9">SUM(I67)</f>
        <v>0</v>
      </c>
      <c r="J66" s="133">
        <f t="shared" si="9"/>
        <v>0</v>
      </c>
    </row>
    <row r="67" spans="1:10" s="93" customFormat="1" ht="25.5" hidden="1" x14ac:dyDescent="0.2">
      <c r="A67" s="131" t="s">
        <v>222</v>
      </c>
      <c r="B67" s="131" t="s">
        <v>286</v>
      </c>
      <c r="C67" s="131" t="s">
        <v>286</v>
      </c>
      <c r="D67" s="132" t="s">
        <v>221</v>
      </c>
      <c r="E67" s="132" t="s">
        <v>286</v>
      </c>
      <c r="F67" s="132" t="s">
        <v>286</v>
      </c>
      <c r="G67" s="133">
        <f t="shared" si="2"/>
        <v>0</v>
      </c>
      <c r="H67" s="133">
        <f>SUM(H68)</f>
        <v>0</v>
      </c>
      <c r="I67" s="133">
        <f t="shared" si="9"/>
        <v>0</v>
      </c>
      <c r="J67" s="133">
        <f t="shared" si="9"/>
        <v>0</v>
      </c>
    </row>
    <row r="68" spans="1:10" s="93" customFormat="1" ht="76.5" hidden="1" x14ac:dyDescent="0.2">
      <c r="A68" s="134" t="s">
        <v>224</v>
      </c>
      <c r="B68" s="134" t="s">
        <v>218</v>
      </c>
      <c r="C68" s="134" t="s">
        <v>216</v>
      </c>
      <c r="D68" s="135" t="s">
        <v>219</v>
      </c>
      <c r="E68" s="135" t="s">
        <v>299</v>
      </c>
      <c r="F68" s="135" t="s">
        <v>300</v>
      </c>
      <c r="G68" s="136">
        <f t="shared" si="2"/>
        <v>0</v>
      </c>
      <c r="H68" s="136"/>
      <c r="I68" s="136">
        <v>0</v>
      </c>
      <c r="J68" s="136">
        <v>0</v>
      </c>
    </row>
    <row r="69" spans="1:10" s="93" customFormat="1" ht="56.25" hidden="1" x14ac:dyDescent="0.2">
      <c r="A69" s="76" t="s">
        <v>217</v>
      </c>
      <c r="B69" s="76" t="s">
        <v>218</v>
      </c>
      <c r="C69" s="76" t="s">
        <v>216</v>
      </c>
      <c r="D69" s="77" t="s">
        <v>219</v>
      </c>
      <c r="E69" s="77"/>
      <c r="F69" s="77"/>
      <c r="G69" s="78">
        <f t="shared" si="2"/>
        <v>0</v>
      </c>
      <c r="H69" s="78">
        <v>0</v>
      </c>
      <c r="I69" s="78"/>
      <c r="J69" s="78"/>
    </row>
    <row r="70" spans="1:10" s="93" customFormat="1" ht="187.5" hidden="1" x14ac:dyDescent="0.2">
      <c r="A70" s="76" t="s">
        <v>217</v>
      </c>
      <c r="B70" s="76" t="s">
        <v>218</v>
      </c>
      <c r="C70" s="76" t="s">
        <v>216</v>
      </c>
      <c r="D70" s="77" t="s">
        <v>219</v>
      </c>
      <c r="E70" s="77" t="s">
        <v>360</v>
      </c>
      <c r="F70" s="77" t="s">
        <v>330</v>
      </c>
      <c r="G70" s="78">
        <f t="shared" si="2"/>
        <v>0</v>
      </c>
      <c r="H70" s="78">
        <v>0</v>
      </c>
      <c r="I70" s="78"/>
      <c r="J70" s="78"/>
    </row>
    <row r="71" spans="1:10" ht="37.5" x14ac:dyDescent="0.3">
      <c r="A71" s="212" t="s">
        <v>222</v>
      </c>
      <c r="B71" s="73"/>
      <c r="C71" s="73"/>
      <c r="D71" s="74" t="s">
        <v>221</v>
      </c>
      <c r="E71" s="74"/>
      <c r="F71" s="74"/>
      <c r="G71" s="75">
        <f>H71</f>
        <v>85000</v>
      </c>
      <c r="H71" s="75">
        <f>H72+H74+H73</f>
        <v>85000</v>
      </c>
      <c r="I71" s="75"/>
      <c r="J71" s="75"/>
    </row>
    <row r="72" spans="1:10" ht="187.5" x14ac:dyDescent="0.3">
      <c r="A72" s="211" t="s">
        <v>444</v>
      </c>
      <c r="B72" s="76">
        <v>3114</v>
      </c>
      <c r="C72" s="76">
        <v>1040</v>
      </c>
      <c r="D72" s="77" t="s">
        <v>445</v>
      </c>
      <c r="E72" s="214" t="s">
        <v>498</v>
      </c>
      <c r="F72" s="214" t="s">
        <v>496</v>
      </c>
      <c r="G72" s="78">
        <f>H72</f>
        <v>0</v>
      </c>
      <c r="H72" s="78">
        <f>40000-40000</f>
        <v>0</v>
      </c>
      <c r="I72" s="78"/>
      <c r="J72" s="78"/>
    </row>
    <row r="73" spans="1:10" ht="131.25" x14ac:dyDescent="0.3">
      <c r="A73" s="211" t="s">
        <v>444</v>
      </c>
      <c r="B73" s="76">
        <v>3114</v>
      </c>
      <c r="C73" s="76">
        <v>1040</v>
      </c>
      <c r="D73" s="77" t="s">
        <v>445</v>
      </c>
      <c r="E73" s="214" t="s">
        <v>499</v>
      </c>
      <c r="F73" s="214" t="s">
        <v>496</v>
      </c>
      <c r="G73" s="78">
        <v>20000</v>
      </c>
      <c r="H73" s="78">
        <v>20000</v>
      </c>
      <c r="I73" s="78"/>
      <c r="J73" s="78"/>
    </row>
    <row r="74" spans="1:10" ht="150" x14ac:dyDescent="0.3">
      <c r="A74" s="211" t="s">
        <v>224</v>
      </c>
      <c r="B74" s="76">
        <v>3242</v>
      </c>
      <c r="C74" s="76">
        <v>1090</v>
      </c>
      <c r="D74" s="77" t="s">
        <v>219</v>
      </c>
      <c r="E74" s="77" t="s">
        <v>461</v>
      </c>
      <c r="F74" s="214" t="s">
        <v>495</v>
      </c>
      <c r="G74" s="78">
        <f>H74</f>
        <v>65000</v>
      </c>
      <c r="H74" s="78">
        <f>25000+40000</f>
        <v>65000</v>
      </c>
      <c r="I74" s="78"/>
      <c r="J74" s="78"/>
    </row>
    <row r="75" spans="1:10" ht="131.25" x14ac:dyDescent="0.3">
      <c r="A75" s="73" t="s">
        <v>226</v>
      </c>
      <c r="B75" s="73" t="s">
        <v>286</v>
      </c>
      <c r="C75" s="73" t="s">
        <v>286</v>
      </c>
      <c r="D75" s="74" t="s">
        <v>405</v>
      </c>
      <c r="E75" s="74" t="s">
        <v>286</v>
      </c>
      <c r="F75" s="74" t="s">
        <v>286</v>
      </c>
      <c r="G75" s="75">
        <f>H75+I75</f>
        <v>13849014</v>
      </c>
      <c r="H75" s="75">
        <f>H77+H78+H79+H80+H82+H87+H76</f>
        <v>13849014</v>
      </c>
      <c r="I75" s="75">
        <f>I77+I79+I80+I87</f>
        <v>0</v>
      </c>
      <c r="J75" s="75">
        <f>J77+J79+J80+J87</f>
        <v>0</v>
      </c>
    </row>
    <row r="76" spans="1:10" ht="124.15" customHeight="1" x14ac:dyDescent="0.3">
      <c r="A76" s="203">
        <v>1213242</v>
      </c>
      <c r="B76" s="203">
        <v>3242</v>
      </c>
      <c r="C76" s="204">
        <v>1090</v>
      </c>
      <c r="D76" s="202" t="s">
        <v>432</v>
      </c>
      <c r="E76" s="77" t="s">
        <v>472</v>
      </c>
      <c r="F76" s="77" t="s">
        <v>483</v>
      </c>
      <c r="G76" s="78">
        <f t="shared" si="2"/>
        <v>420900</v>
      </c>
      <c r="H76" s="78">
        <v>420900</v>
      </c>
      <c r="I76" s="78"/>
      <c r="J76" s="78"/>
    </row>
    <row r="77" spans="1:10" ht="150" hidden="1" x14ac:dyDescent="0.3">
      <c r="A77" s="148">
        <v>1216011</v>
      </c>
      <c r="B77" s="152">
        <v>6011</v>
      </c>
      <c r="C77" s="149">
        <v>610</v>
      </c>
      <c r="D77" s="195" t="s">
        <v>340</v>
      </c>
      <c r="E77" s="77" t="s">
        <v>453</v>
      </c>
      <c r="F77" s="77" t="s">
        <v>451</v>
      </c>
      <c r="G77" s="78">
        <f t="shared" si="2"/>
        <v>0</v>
      </c>
      <c r="H77" s="78">
        <v>0</v>
      </c>
      <c r="I77" s="78"/>
      <c r="J77" s="78"/>
    </row>
    <row r="78" spans="1:10" ht="281.25" customHeight="1" x14ac:dyDescent="0.3">
      <c r="A78" s="76" t="s">
        <v>228</v>
      </c>
      <c r="B78" s="76" t="s">
        <v>229</v>
      </c>
      <c r="C78" s="76" t="s">
        <v>230</v>
      </c>
      <c r="D78" s="77" t="s">
        <v>231</v>
      </c>
      <c r="E78" s="77" t="s">
        <v>472</v>
      </c>
      <c r="F78" s="77" t="s">
        <v>483</v>
      </c>
      <c r="G78" s="78">
        <f t="shared" si="2"/>
        <v>400000</v>
      </c>
      <c r="H78" s="78">
        <v>400000</v>
      </c>
      <c r="I78" s="78">
        <v>0</v>
      </c>
      <c r="J78" s="78">
        <v>0</v>
      </c>
    </row>
    <row r="79" spans="1:10" ht="168.75" x14ac:dyDescent="0.3">
      <c r="A79" s="79">
        <v>1216020</v>
      </c>
      <c r="B79" s="79">
        <v>6020</v>
      </c>
      <c r="C79" s="76" t="s">
        <v>230</v>
      </c>
      <c r="D79" s="77" t="s">
        <v>304</v>
      </c>
      <c r="E79" s="77" t="s">
        <v>472</v>
      </c>
      <c r="F79" s="214" t="s">
        <v>495</v>
      </c>
      <c r="G79" s="78">
        <f t="shared" si="2"/>
        <v>5041800</v>
      </c>
      <c r="H79" s="78">
        <f>1000000+2696800+1345000</f>
        <v>5041800</v>
      </c>
      <c r="I79" s="78">
        <v>0</v>
      </c>
      <c r="J79" s="78">
        <v>0</v>
      </c>
    </row>
    <row r="80" spans="1:10" ht="168.75" x14ac:dyDescent="0.3">
      <c r="A80" s="79">
        <v>1216030</v>
      </c>
      <c r="B80" s="79">
        <v>6030</v>
      </c>
      <c r="C80" s="76" t="s">
        <v>230</v>
      </c>
      <c r="D80" s="77" t="s">
        <v>234</v>
      </c>
      <c r="E80" s="77" t="s">
        <v>472</v>
      </c>
      <c r="F80" s="214" t="s">
        <v>495</v>
      </c>
      <c r="G80" s="78">
        <f t="shared" ref="G80" si="10">SUM(H80+I80)</f>
        <v>3858200</v>
      </c>
      <c r="H80" s="78">
        <f>2828283-1345000+2374917</f>
        <v>3858200</v>
      </c>
      <c r="I80" s="78">
        <v>0</v>
      </c>
      <c r="J80" s="78">
        <v>0</v>
      </c>
    </row>
    <row r="81" spans="1:10" s="93" customFormat="1" ht="131.25" hidden="1" x14ac:dyDescent="0.3">
      <c r="A81" s="148">
        <v>1217310</v>
      </c>
      <c r="B81" s="140">
        <v>7310</v>
      </c>
      <c r="C81" s="149">
        <v>443</v>
      </c>
      <c r="D81" s="141" t="s">
        <v>343</v>
      </c>
      <c r="E81" s="77" t="s">
        <v>333</v>
      </c>
      <c r="F81" s="77" t="s">
        <v>332</v>
      </c>
      <c r="G81" s="78">
        <f t="shared" si="2"/>
        <v>0</v>
      </c>
      <c r="H81" s="78"/>
      <c r="I81" s="78">
        <v>0</v>
      </c>
      <c r="J81" s="78">
        <v>0</v>
      </c>
    </row>
    <row r="82" spans="1:10" s="93" customFormat="1" ht="281.25" hidden="1" x14ac:dyDescent="0.2">
      <c r="A82" s="79" t="s">
        <v>235</v>
      </c>
      <c r="B82" s="79" t="s">
        <v>236</v>
      </c>
      <c r="C82" s="76" t="s">
        <v>237</v>
      </c>
      <c r="D82" s="77" t="s">
        <v>238</v>
      </c>
      <c r="E82" s="77" t="s">
        <v>384</v>
      </c>
      <c r="F82" s="77" t="s">
        <v>381</v>
      </c>
      <c r="G82" s="78">
        <f t="shared" si="2"/>
        <v>0</v>
      </c>
      <c r="H82" s="78">
        <v>0</v>
      </c>
      <c r="I82" s="78"/>
      <c r="J82" s="78"/>
    </row>
    <row r="83" spans="1:10" ht="145.9" hidden="1" customHeight="1" x14ac:dyDescent="0.3">
      <c r="A83" s="79">
        <v>1217463</v>
      </c>
      <c r="B83" s="79">
        <v>7463</v>
      </c>
      <c r="C83" s="76" t="s">
        <v>237</v>
      </c>
      <c r="D83" s="77" t="s">
        <v>241</v>
      </c>
      <c r="E83" s="77" t="s">
        <v>430</v>
      </c>
      <c r="F83" s="77" t="s">
        <v>431</v>
      </c>
      <c r="G83" s="78">
        <f t="shared" ref="G83" si="11">SUM(H83+I83)</f>
        <v>0</v>
      </c>
      <c r="H83" s="78">
        <v>0</v>
      </c>
      <c r="I83" s="78"/>
      <c r="J83" s="78"/>
    </row>
    <row r="84" spans="1:10" s="93" customFormat="1" ht="131.25" hidden="1" x14ac:dyDescent="0.2">
      <c r="A84" s="79" t="s">
        <v>244</v>
      </c>
      <c r="B84" s="79" t="s">
        <v>125</v>
      </c>
      <c r="C84" s="76" t="s">
        <v>126</v>
      </c>
      <c r="D84" s="77" t="s">
        <v>127</v>
      </c>
      <c r="E84" s="77" t="s">
        <v>334</v>
      </c>
      <c r="F84" s="77" t="s">
        <v>332</v>
      </c>
      <c r="G84" s="78">
        <f t="shared" si="2"/>
        <v>0</v>
      </c>
      <c r="H84" s="78">
        <v>0</v>
      </c>
      <c r="I84" s="78">
        <v>0</v>
      </c>
      <c r="J84" s="78">
        <v>0</v>
      </c>
    </row>
    <row r="85" spans="1:10" s="93" customFormat="1" ht="25.5" hidden="1" x14ac:dyDescent="0.2">
      <c r="A85" s="131" t="s">
        <v>248</v>
      </c>
      <c r="B85" s="131" t="s">
        <v>286</v>
      </c>
      <c r="C85" s="131" t="s">
        <v>286</v>
      </c>
      <c r="D85" s="132" t="s">
        <v>250</v>
      </c>
      <c r="E85" s="132" t="s">
        <v>286</v>
      </c>
      <c r="F85" s="132" t="s">
        <v>286</v>
      </c>
      <c r="G85" s="133">
        <f>SUM(H85+I85)</f>
        <v>4128114</v>
      </c>
      <c r="H85" s="133">
        <f>SUM(H86)</f>
        <v>4128114</v>
      </c>
      <c r="I85" s="133">
        <f t="shared" ref="I85:J86" si="12">SUM(I86)</f>
        <v>0</v>
      </c>
      <c r="J85" s="133">
        <f t="shared" si="12"/>
        <v>0</v>
      </c>
    </row>
    <row r="86" spans="1:10" s="93" customFormat="1" ht="25.5" hidden="1" x14ac:dyDescent="0.2">
      <c r="A86" s="131" t="s">
        <v>249</v>
      </c>
      <c r="B86" s="131" t="s">
        <v>286</v>
      </c>
      <c r="C86" s="131" t="s">
        <v>286</v>
      </c>
      <c r="D86" s="132" t="s">
        <v>250</v>
      </c>
      <c r="E86" s="132" t="s">
        <v>286</v>
      </c>
      <c r="F86" s="132" t="s">
        <v>286</v>
      </c>
      <c r="G86" s="133">
        <f>SUM(H86+I86)</f>
        <v>4128114</v>
      </c>
      <c r="H86" s="133">
        <f>SUM(H87)</f>
        <v>4128114</v>
      </c>
      <c r="I86" s="133">
        <f t="shared" si="12"/>
        <v>0</v>
      </c>
      <c r="J86" s="133">
        <f t="shared" si="12"/>
        <v>0</v>
      </c>
    </row>
    <row r="87" spans="1:10" s="93" customFormat="1" ht="168.75" x14ac:dyDescent="0.2">
      <c r="A87" s="79" t="s">
        <v>244</v>
      </c>
      <c r="B87" s="79" t="s">
        <v>125</v>
      </c>
      <c r="C87" s="76" t="s">
        <v>126</v>
      </c>
      <c r="D87" s="77" t="s">
        <v>127</v>
      </c>
      <c r="E87" s="77" t="s">
        <v>472</v>
      </c>
      <c r="F87" s="214" t="s">
        <v>495</v>
      </c>
      <c r="G87" s="78">
        <f>SUM(H87+I87)</f>
        <v>4128114</v>
      </c>
      <c r="H87" s="78">
        <f>3000000+1128114</f>
        <v>4128114</v>
      </c>
      <c r="I87" s="78">
        <v>0</v>
      </c>
      <c r="J87" s="78">
        <v>0</v>
      </c>
    </row>
    <row r="88" spans="1:10" ht="75" x14ac:dyDescent="0.3">
      <c r="A88" s="73">
        <v>3700000</v>
      </c>
      <c r="B88" s="73"/>
      <c r="C88" s="73"/>
      <c r="D88" s="74" t="s">
        <v>402</v>
      </c>
      <c r="E88" s="74"/>
      <c r="F88" s="74"/>
      <c r="G88" s="75">
        <f t="shared" ref="G88:G99" si="13">SUM(H88+I88)</f>
        <v>9582542.8900000006</v>
      </c>
      <c r="H88" s="75">
        <f>SUM(H89)</f>
        <v>9582542.8900000006</v>
      </c>
      <c r="I88" s="75">
        <f t="shared" ref="I88:J88" si="14">SUM(I89)</f>
        <v>0</v>
      </c>
      <c r="J88" s="75">
        <f t="shared" si="14"/>
        <v>0</v>
      </c>
    </row>
    <row r="89" spans="1:10" ht="75" x14ac:dyDescent="0.3">
      <c r="A89" s="73">
        <v>3710000</v>
      </c>
      <c r="B89" s="73"/>
      <c r="C89" s="73"/>
      <c r="D89" s="74" t="s">
        <v>402</v>
      </c>
      <c r="E89" s="74"/>
      <c r="F89" s="74"/>
      <c r="G89" s="75">
        <f t="shared" si="13"/>
        <v>9582542.8900000006</v>
      </c>
      <c r="H89" s="75">
        <f>SUM(H90:H101)</f>
        <v>9582542.8900000006</v>
      </c>
      <c r="I89" s="75">
        <f>SUM(I90:I99)</f>
        <v>0</v>
      </c>
      <c r="J89" s="75">
        <f>SUM(J90:J99)</f>
        <v>0</v>
      </c>
    </row>
    <row r="90" spans="1:10" ht="131.25" customHeight="1" x14ac:dyDescent="0.3">
      <c r="A90" s="79">
        <v>3717370</v>
      </c>
      <c r="B90" s="79">
        <v>7370</v>
      </c>
      <c r="C90" s="79">
        <v>490</v>
      </c>
      <c r="D90" s="77" t="s">
        <v>335</v>
      </c>
      <c r="E90" s="77" t="s">
        <v>464</v>
      </c>
      <c r="F90" s="214" t="s">
        <v>495</v>
      </c>
      <c r="G90" s="78">
        <f t="shared" si="13"/>
        <v>633486.57999999996</v>
      </c>
      <c r="H90" s="92">
        <f>1586000+328540-30000-50000-1128114-34939.42-38000</f>
        <v>633486.57999999996</v>
      </c>
      <c r="I90" s="78">
        <v>0</v>
      </c>
      <c r="J90" s="78">
        <v>0</v>
      </c>
    </row>
    <row r="91" spans="1:10" ht="206.25" x14ac:dyDescent="0.3">
      <c r="A91" s="79">
        <v>3719150</v>
      </c>
      <c r="B91" s="79">
        <v>9150</v>
      </c>
      <c r="C91" s="76" t="s">
        <v>130</v>
      </c>
      <c r="D91" s="77" t="s">
        <v>75</v>
      </c>
      <c r="E91" s="77" t="s">
        <v>465</v>
      </c>
      <c r="F91" s="77" t="s">
        <v>508</v>
      </c>
      <c r="G91" s="78">
        <f>H91</f>
        <v>150000</v>
      </c>
      <c r="H91" s="78">
        <v>150000</v>
      </c>
      <c r="I91" s="78"/>
      <c r="J91" s="78"/>
    </row>
    <row r="92" spans="1:10" ht="206.25" x14ac:dyDescent="0.3">
      <c r="A92" s="79">
        <v>3719150</v>
      </c>
      <c r="B92" s="79">
        <v>9150</v>
      </c>
      <c r="C92" s="76" t="s">
        <v>130</v>
      </c>
      <c r="D92" s="77" t="s">
        <v>75</v>
      </c>
      <c r="E92" s="77" t="s">
        <v>454</v>
      </c>
      <c r="F92" s="77" t="s">
        <v>475</v>
      </c>
      <c r="G92" s="78">
        <f t="shared" si="13"/>
        <v>30000</v>
      </c>
      <c r="H92" s="78">
        <v>30000</v>
      </c>
      <c r="I92" s="78">
        <v>0</v>
      </c>
      <c r="J92" s="78">
        <v>0</v>
      </c>
    </row>
    <row r="93" spans="1:10" ht="131.25" hidden="1" x14ac:dyDescent="0.3">
      <c r="A93" s="79">
        <v>3719150</v>
      </c>
      <c r="B93" s="79">
        <v>9150</v>
      </c>
      <c r="C93" s="76" t="s">
        <v>130</v>
      </c>
      <c r="D93" s="77" t="s">
        <v>75</v>
      </c>
      <c r="E93" s="77" t="s">
        <v>376</v>
      </c>
      <c r="F93" s="77" t="s">
        <v>380</v>
      </c>
      <c r="G93" s="78">
        <v>0</v>
      </c>
      <c r="H93" s="78">
        <v>0</v>
      </c>
      <c r="I93" s="78"/>
      <c r="J93" s="78"/>
    </row>
    <row r="94" spans="1:10" ht="281.25" x14ac:dyDescent="0.3">
      <c r="A94" s="79">
        <v>3719150</v>
      </c>
      <c r="B94" s="79">
        <v>9150</v>
      </c>
      <c r="C94" s="76" t="s">
        <v>130</v>
      </c>
      <c r="D94" s="77" t="s">
        <v>75</v>
      </c>
      <c r="E94" s="77" t="s">
        <v>511</v>
      </c>
      <c r="F94" s="214" t="s">
        <v>495</v>
      </c>
      <c r="G94" s="78">
        <f>H94</f>
        <v>50000</v>
      </c>
      <c r="H94" s="78">
        <v>50000</v>
      </c>
      <c r="I94" s="78"/>
      <c r="J94" s="78"/>
    </row>
    <row r="95" spans="1:10" ht="150" x14ac:dyDescent="0.3">
      <c r="A95" s="79">
        <v>3719150</v>
      </c>
      <c r="B95" s="79">
        <v>9150</v>
      </c>
      <c r="C95" s="76" t="s">
        <v>130</v>
      </c>
      <c r="D95" s="77" t="s">
        <v>75</v>
      </c>
      <c r="E95" s="77" t="s">
        <v>510</v>
      </c>
      <c r="F95" s="214" t="s">
        <v>495</v>
      </c>
      <c r="G95" s="78">
        <v>4799900</v>
      </c>
      <c r="H95" s="78">
        <v>4799900</v>
      </c>
      <c r="I95" s="78"/>
      <c r="J95" s="78"/>
    </row>
    <row r="96" spans="1:10" ht="168.75" x14ac:dyDescent="0.3">
      <c r="A96" s="79">
        <v>3719770</v>
      </c>
      <c r="B96" s="79">
        <v>9770</v>
      </c>
      <c r="C96" s="76" t="s">
        <v>130</v>
      </c>
      <c r="D96" s="77" t="s">
        <v>77</v>
      </c>
      <c r="E96" s="77" t="s">
        <v>467</v>
      </c>
      <c r="F96" s="214" t="s">
        <v>495</v>
      </c>
      <c r="G96" s="78">
        <f>950800-950800</f>
        <v>0</v>
      </c>
      <c r="H96" s="78">
        <f>950800-950800</f>
        <v>0</v>
      </c>
      <c r="I96" s="78"/>
      <c r="J96" s="78"/>
    </row>
    <row r="97" spans="1:10" ht="150" x14ac:dyDescent="0.3">
      <c r="A97" s="79">
        <v>3719770</v>
      </c>
      <c r="B97" s="79">
        <v>9770</v>
      </c>
      <c r="C97" s="76" t="s">
        <v>130</v>
      </c>
      <c r="D97" s="77" t="s">
        <v>77</v>
      </c>
      <c r="E97" s="77" t="s">
        <v>503</v>
      </c>
      <c r="F97" s="214" t="s">
        <v>495</v>
      </c>
      <c r="G97" s="78">
        <f>950800+535800</f>
        <v>1486600</v>
      </c>
      <c r="H97" s="78">
        <f>950800+535800</f>
        <v>1486600</v>
      </c>
      <c r="I97" s="78"/>
      <c r="J97" s="78"/>
    </row>
    <row r="98" spans="1:10" ht="206.25" x14ac:dyDescent="0.3">
      <c r="A98" s="79">
        <v>3719770</v>
      </c>
      <c r="B98" s="79">
        <v>9770</v>
      </c>
      <c r="C98" s="76" t="s">
        <v>130</v>
      </c>
      <c r="D98" s="77" t="s">
        <v>77</v>
      </c>
      <c r="E98" s="77" t="s">
        <v>455</v>
      </c>
      <c r="F98" s="77" t="s">
        <v>508</v>
      </c>
      <c r="G98" s="78">
        <v>100600</v>
      </c>
      <c r="H98" s="78">
        <v>100600</v>
      </c>
      <c r="I98" s="78"/>
      <c r="J98" s="78"/>
    </row>
    <row r="99" spans="1:10" s="93" customFormat="1" ht="222.6" customHeight="1" x14ac:dyDescent="0.2">
      <c r="A99" s="79">
        <v>3719770</v>
      </c>
      <c r="B99" s="79">
        <v>9770</v>
      </c>
      <c r="C99" s="76" t="s">
        <v>130</v>
      </c>
      <c r="D99" s="77" t="s">
        <v>77</v>
      </c>
      <c r="E99" s="77" t="s">
        <v>456</v>
      </c>
      <c r="F99" s="77" t="s">
        <v>475</v>
      </c>
      <c r="G99" s="78">
        <f t="shared" si="13"/>
        <v>20000</v>
      </c>
      <c r="H99" s="78">
        <v>20000</v>
      </c>
      <c r="I99" s="78"/>
      <c r="J99" s="78"/>
    </row>
    <row r="100" spans="1:10" s="93" customFormat="1" ht="240.75" customHeight="1" x14ac:dyDescent="0.2">
      <c r="A100" s="79">
        <v>3719770</v>
      </c>
      <c r="B100" s="79">
        <v>9770</v>
      </c>
      <c r="C100" s="76" t="s">
        <v>130</v>
      </c>
      <c r="D100" s="77" t="s">
        <v>77</v>
      </c>
      <c r="E100" s="77" t="s">
        <v>466</v>
      </c>
      <c r="F100" s="77" t="s">
        <v>483</v>
      </c>
      <c r="G100" s="78">
        <f>H100</f>
        <v>2226400</v>
      </c>
      <c r="H100" s="78">
        <f>2060700+165700</f>
        <v>2226400</v>
      </c>
      <c r="I100" s="78"/>
      <c r="J100" s="78"/>
    </row>
    <row r="101" spans="1:10" s="93" customFormat="1" ht="161.44999999999999" customHeight="1" x14ac:dyDescent="0.2">
      <c r="A101" s="79">
        <v>3719770</v>
      </c>
      <c r="B101" s="79">
        <v>9770</v>
      </c>
      <c r="C101" s="76" t="s">
        <v>130</v>
      </c>
      <c r="D101" s="77" t="s">
        <v>77</v>
      </c>
      <c r="E101" s="214" t="s">
        <v>512</v>
      </c>
      <c r="F101" s="214" t="s">
        <v>495</v>
      </c>
      <c r="G101" s="78">
        <f>H101</f>
        <v>85556.31</v>
      </c>
      <c r="H101" s="78">
        <v>85556.31</v>
      </c>
      <c r="I101" s="78"/>
      <c r="J101" s="78"/>
    </row>
    <row r="102" spans="1:10" x14ac:dyDescent="0.3">
      <c r="A102" s="80" t="s">
        <v>79</v>
      </c>
      <c r="B102" s="80" t="s">
        <v>79</v>
      </c>
      <c r="C102" s="80" t="s">
        <v>79</v>
      </c>
      <c r="D102" s="73" t="s">
        <v>257</v>
      </c>
      <c r="E102" s="73" t="s">
        <v>79</v>
      </c>
      <c r="F102" s="73" t="s">
        <v>79</v>
      </c>
      <c r="G102" s="75">
        <f>H102+I101</f>
        <v>31973976.560000002</v>
      </c>
      <c r="H102" s="75">
        <f>H88++H75++H71+H51+H35+H21+H18</f>
        <v>31973976.560000002</v>
      </c>
      <c r="I102" s="75">
        <f t="shared" ref="I102:J102" si="15">I88++I75++I71+I51+I35+I21+I18</f>
        <v>0</v>
      </c>
      <c r="J102" s="75">
        <f t="shared" si="15"/>
        <v>0</v>
      </c>
    </row>
    <row r="103" spans="1:10" x14ac:dyDescent="0.3">
      <c r="H103" s="193"/>
    </row>
    <row r="105" spans="1:10" x14ac:dyDescent="0.3">
      <c r="A105" s="81"/>
      <c r="D105" s="70" t="s">
        <v>81</v>
      </c>
      <c r="G105" s="70" t="s">
        <v>82</v>
      </c>
    </row>
    <row r="107" spans="1:10" x14ac:dyDescent="0.3">
      <c r="I107" s="153"/>
    </row>
    <row r="108" spans="1:10" x14ac:dyDescent="0.3">
      <c r="A108" s="81"/>
    </row>
    <row r="109" spans="1:10" x14ac:dyDescent="0.3">
      <c r="A109" s="81"/>
      <c r="G109" s="81"/>
    </row>
  </sheetData>
  <autoFilter ref="A17:J102">
    <filterColumn colId="6">
      <filters>
        <filter val="1 082 000,00"/>
        <filter val="1 132 632,00"/>
        <filter val="1 282 483,00"/>
        <filter val="1 841,00"/>
        <filter val="100 000,00"/>
        <filter val="13 230,00"/>
        <filter val="150 000,00"/>
        <filter val="17 005 638,00"/>
        <filter val="17 500,00"/>
        <filter val="2 520,00"/>
        <filter val="24 000,00"/>
        <filter val="250 000,00"/>
        <filter val="3 990,00"/>
        <filter val="30 000,00"/>
        <filter val="350 000,00"/>
        <filter val="49 800,00"/>
        <filter val="5 956 270,00"/>
        <filter val="50 000,00"/>
        <filter val="513 230,00"/>
        <filter val="6 055 870,00"/>
        <filter val="69 600,00"/>
        <filter val="7 722 255,00"/>
        <filter val="8 904 055,00"/>
      </filters>
    </filterColumn>
  </autoFilter>
  <mergeCells count="11">
    <mergeCell ref="A12:J12"/>
    <mergeCell ref="A11:J11"/>
    <mergeCell ref="A15:A16"/>
    <mergeCell ref="B15:B16"/>
    <mergeCell ref="C15:C16"/>
    <mergeCell ref="D15:D16"/>
    <mergeCell ref="E15:E16"/>
    <mergeCell ref="F15:F16"/>
    <mergeCell ref="G15:G16"/>
    <mergeCell ref="H15:H16"/>
    <mergeCell ref="I15:J15"/>
  </mergeCells>
  <printOptions horizontalCentered="1"/>
  <pageMargins left="0.19685039370078741" right="0.19685039370078741" top="0.59055118110236227" bottom="0.39370078740157483" header="0" footer="0"/>
  <pageSetup paperSize="9" scale="70"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9</vt:i4>
      </vt:variant>
    </vt:vector>
  </HeadingPairs>
  <TitlesOfParts>
    <vt:vector size="14" baseType="lpstr">
      <vt:lpstr>дод 1</vt:lpstr>
      <vt:lpstr>дод 2</vt:lpstr>
      <vt:lpstr>дод 3</vt:lpstr>
      <vt:lpstr>дод 4</vt:lpstr>
      <vt:lpstr>дод 5</vt:lpstr>
      <vt:lpstr>'дод 1'!w1_12</vt:lpstr>
      <vt:lpstr>'дод 1'!Заголовки_для_печати</vt:lpstr>
      <vt:lpstr>'дод 3'!Заголовки_для_печати</vt:lpstr>
      <vt:lpstr>'дод 4'!Заголовки_для_печати</vt:lpstr>
      <vt:lpstr>'дод 5'!Заголовки_для_печати</vt:lpstr>
      <vt:lpstr>'дод 1'!Область_печати</vt:lpstr>
      <vt:lpstr>'дод 3'!Область_печати</vt:lpstr>
      <vt:lpstr>'дод 4'!Область_печати</vt:lpstr>
      <vt:lpstr>'дод 5'!Область_печати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1</dc:creator>
  <cp:lastModifiedBy>Сергій</cp:lastModifiedBy>
  <cp:lastPrinted>2026-06-23T12:10:30Z</cp:lastPrinted>
  <dcterms:created xsi:type="dcterms:W3CDTF">2021-12-02T12:51:45Z</dcterms:created>
  <dcterms:modified xsi:type="dcterms:W3CDTF">2026-08-11T11:47:06Z</dcterms:modified>
</cp:coreProperties>
</file>